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defaultThemeVersion="124226"/>
  <bookViews>
    <workbookView xWindow="-120" yWindow="-120" windowWidth="20730" windowHeight="11160"/>
  </bookViews>
  <sheets>
    <sheet name="РРО на2025" sheetId="14" r:id="rId1"/>
  </sheets>
  <definedNames>
    <definedName name="_xlnm._FilterDatabase" localSheetId="0" hidden="1">'РРО на2025'!$A$4:$U$154</definedName>
    <definedName name="_xlnm.Print_Titles" localSheetId="0">'РРО на2025'!$2:$5</definedName>
    <definedName name="_xlnm.Print_Area" localSheetId="0">'РРО на2025'!$A$1:$S$753</definedName>
  </definedNames>
  <calcPr calcId="125725"/>
  <fileRecoveryPr autoRecover="0"/>
</workbook>
</file>

<file path=xl/calcChain.xml><?xml version="1.0" encoding="utf-8"?>
<calcChain xmlns="http://schemas.openxmlformats.org/spreadsheetml/2006/main">
  <c r="P120" i="14"/>
  <c r="Q173" l="1"/>
  <c r="R120"/>
  <c r="R86"/>
  <c r="Q11"/>
  <c r="Q418"/>
  <c r="Q399"/>
  <c r="Q227"/>
  <c r="Q214"/>
  <c r="Q15"/>
  <c r="Q476"/>
  <c r="P703"/>
  <c r="P215" l="1"/>
  <c r="N141"/>
  <c r="P116"/>
  <c r="O116"/>
  <c r="N116"/>
  <c r="S448" l="1"/>
  <c r="S173"/>
  <c r="S63"/>
  <c r="R63"/>
  <c r="O400"/>
  <c r="N400"/>
  <c r="R448"/>
  <c r="Q448"/>
  <c r="S418"/>
  <c r="R418"/>
  <c r="S399"/>
  <c r="R399"/>
  <c r="S460"/>
  <c r="R460"/>
  <c r="Q460"/>
  <c r="S293"/>
  <c r="R293"/>
  <c r="Q293"/>
  <c r="S333"/>
  <c r="R333"/>
  <c r="Q333"/>
  <c r="S227"/>
  <c r="S215" s="1"/>
  <c r="R227"/>
  <c r="R215" s="1"/>
  <c r="Q215"/>
  <c r="R173" l="1"/>
  <c r="S120"/>
  <c r="S86"/>
  <c r="S214"/>
  <c r="R214"/>
  <c r="S461"/>
  <c r="Q461"/>
  <c r="R461"/>
  <c r="Q39"/>
  <c r="S476"/>
  <c r="R476"/>
  <c r="S398" l="1"/>
  <c r="R398"/>
  <c r="O725"/>
  <c r="P725"/>
  <c r="Q725"/>
  <c r="R725"/>
  <c r="S725"/>
  <c r="N725"/>
  <c r="N92"/>
  <c r="O330"/>
  <c r="Q330"/>
  <c r="R330"/>
  <c r="S330"/>
  <c r="N330"/>
  <c r="O647"/>
  <c r="P625"/>
  <c r="P609"/>
  <c r="P608"/>
  <c r="P457" l="1"/>
  <c r="P398"/>
  <c r="P400"/>
  <c r="P417"/>
  <c r="P63" l="1"/>
  <c r="P740" l="1"/>
  <c r="P484"/>
  <c r="P354"/>
  <c r="P293"/>
  <c r="P278"/>
  <c r="P200"/>
  <c r="P167"/>
  <c r="O303" l="1"/>
  <c r="P173"/>
  <c r="P456"/>
  <c r="P455"/>
  <c r="P64"/>
  <c r="P561"/>
  <c r="P499"/>
  <c r="P117"/>
  <c r="P11"/>
  <c r="N483"/>
  <c r="O483"/>
  <c r="Q483"/>
  <c r="R483"/>
  <c r="S483"/>
  <c r="P265"/>
  <c r="P262" s="1"/>
  <c r="Q262"/>
  <c r="R262"/>
  <c r="S262"/>
  <c r="P435"/>
  <c r="P483" l="1"/>
  <c r="P61"/>
  <c r="P575"/>
  <c r="P333"/>
  <c r="P330" s="1"/>
  <c r="P309"/>
  <c r="P308"/>
  <c r="P192"/>
  <c r="P58"/>
  <c r="P613"/>
  <c r="P599" s="1"/>
  <c r="P51" l="1"/>
  <c r="P250"/>
  <c r="P45"/>
  <c r="P29" s="1"/>
  <c r="P10"/>
  <c r="P470"/>
  <c r="P390"/>
  <c r="P397"/>
  <c r="P16" l="1"/>
  <c r="P15"/>
  <c r="P559"/>
  <c r="P585"/>
  <c r="P582" s="1"/>
  <c r="P627"/>
  <c r="P628"/>
  <c r="P658"/>
  <c r="P654"/>
  <c r="P646"/>
  <c r="P643" s="1"/>
  <c r="P728"/>
  <c r="P647" l="1"/>
  <c r="P695"/>
  <c r="P448"/>
  <c r="P256"/>
  <c r="P694"/>
  <c r="P690" s="1"/>
  <c r="P199"/>
  <c r="P312"/>
  <c r="P311"/>
  <c r="P310"/>
  <c r="P671"/>
  <c r="P666" s="1"/>
  <c r="P143"/>
  <c r="P140"/>
  <c r="P141"/>
  <c r="P142"/>
  <c r="P193"/>
  <c r="P186"/>
  <c r="P81"/>
  <c r="P577"/>
  <c r="P565" l="1"/>
  <c r="P394" l="1"/>
  <c r="O459" l="1"/>
  <c r="O430"/>
  <c r="N430"/>
  <c r="O419"/>
  <c r="O398"/>
  <c r="N398"/>
  <c r="O396"/>
  <c r="N396"/>
  <c r="P304"/>
  <c r="N303"/>
  <c r="N127"/>
  <c r="N86"/>
  <c r="O86"/>
  <c r="Q424" l="1"/>
  <c r="P137" l="1"/>
  <c r="P108" l="1"/>
  <c r="Q351"/>
  <c r="R351"/>
  <c r="Q318"/>
  <c r="R318"/>
  <c r="S318"/>
  <c r="Q305"/>
  <c r="R305"/>
  <c r="S305"/>
  <c r="Q275"/>
  <c r="R275"/>
  <c r="S275"/>
  <c r="Q271"/>
  <c r="R271"/>
  <c r="S271"/>
  <c r="Q247"/>
  <c r="R247"/>
  <c r="Q208"/>
  <c r="R208"/>
  <c r="S183"/>
  <c r="Q183"/>
  <c r="R183"/>
  <c r="P183"/>
  <c r="P160"/>
  <c r="N555"/>
  <c r="N569"/>
  <c r="N509"/>
  <c r="N493"/>
  <c r="N464"/>
  <c r="N424"/>
  <c r="N362"/>
  <c r="P318"/>
  <c r="O305"/>
  <c r="P305"/>
  <c r="N305"/>
  <c r="O289"/>
  <c r="P289"/>
  <c r="N289"/>
  <c r="N252"/>
  <c r="O247"/>
  <c r="P247"/>
  <c r="N247"/>
  <c r="N203"/>
  <c r="N196"/>
  <c r="N189"/>
  <c r="O29"/>
  <c r="Q29"/>
  <c r="R29"/>
  <c r="S29"/>
  <c r="N29"/>
  <c r="O23"/>
  <c r="P23"/>
  <c r="Q23"/>
  <c r="R23"/>
  <c r="S23"/>
  <c r="N23"/>
  <c r="N18"/>
  <c r="N13"/>
  <c r="N9"/>
  <c r="O599"/>
  <c r="Q599"/>
  <c r="R599"/>
  <c r="N599"/>
  <c r="P622"/>
  <c r="Q622"/>
  <c r="R622"/>
  <c r="S622"/>
  <c r="O631"/>
  <c r="P631"/>
  <c r="Q631"/>
  <c r="R631"/>
  <c r="S631"/>
  <c r="N631"/>
  <c r="N638"/>
  <c r="O643"/>
  <c r="N654"/>
  <c r="O658"/>
  <c r="Q658"/>
  <c r="R658"/>
  <c r="S658"/>
  <c r="N658"/>
  <c r="N690"/>
  <c r="O673"/>
  <c r="P673"/>
  <c r="Q673"/>
  <c r="R673"/>
  <c r="S673"/>
  <c r="N673"/>
  <c r="O666"/>
  <c r="Q666"/>
  <c r="R666"/>
  <c r="N666"/>
  <c r="O267" l="1"/>
  <c r="N267"/>
  <c r="N262" s="1"/>
  <c r="O728" l="1"/>
  <c r="Q728"/>
  <c r="R728"/>
  <c r="S728"/>
  <c r="N728"/>
  <c r="Q690" l="1"/>
  <c r="R690"/>
  <c r="S690"/>
  <c r="S666"/>
  <c r="S599"/>
  <c r="O227" l="1"/>
  <c r="O215" s="1"/>
  <c r="N227"/>
  <c r="O233"/>
  <c r="N233"/>
  <c r="N506"/>
  <c r="N492"/>
  <c r="N469"/>
  <c r="N351"/>
  <c r="N275"/>
  <c r="N271"/>
  <c r="S585" l="1"/>
  <c r="O561" l="1"/>
  <c r="N561"/>
  <c r="O555" l="1"/>
  <c r="O520" s="1"/>
  <c r="N520"/>
  <c r="N545"/>
  <c r="N541" s="1"/>
  <c r="N529"/>
  <c r="N527" s="1"/>
  <c r="O529"/>
  <c r="O517" s="1"/>
  <c r="N517" l="1"/>
  <c r="Q518"/>
  <c r="R518"/>
  <c r="S518"/>
  <c r="P518"/>
  <c r="P526" l="1"/>
  <c r="P522"/>
  <c r="Q521"/>
  <c r="R521"/>
  <c r="S521"/>
  <c r="P521"/>
  <c r="Q519"/>
  <c r="R519"/>
  <c r="P519"/>
  <c r="P525" l="1"/>
  <c r="R520" l="1"/>
  <c r="Q520"/>
  <c r="P555"/>
  <c r="P520" s="1"/>
  <c r="P529"/>
  <c r="P545"/>
  <c r="P543"/>
  <c r="P541" l="1"/>
  <c r="R517"/>
  <c r="Q517"/>
  <c r="P531"/>
  <c r="P517" s="1"/>
  <c r="S526"/>
  <c r="S519"/>
  <c r="S509"/>
  <c r="P402"/>
  <c r="P374"/>
  <c r="S351"/>
  <c r="P351"/>
  <c r="S362"/>
  <c r="O9"/>
  <c r="P9"/>
  <c r="Q9"/>
  <c r="R9"/>
  <c r="S9"/>
  <c r="O13"/>
  <c r="P13"/>
  <c r="Q13"/>
  <c r="R13"/>
  <c r="S13"/>
  <c r="O18"/>
  <c r="P18"/>
  <c r="Q18"/>
  <c r="R18"/>
  <c r="S18"/>
  <c r="N63"/>
  <c r="N51" s="1"/>
  <c r="O63"/>
  <c r="O51" s="1"/>
  <c r="Q51"/>
  <c r="R51"/>
  <c r="N81"/>
  <c r="O81"/>
  <c r="P69"/>
  <c r="Q69"/>
  <c r="R69"/>
  <c r="N128"/>
  <c r="O128"/>
  <c r="N117"/>
  <c r="O117"/>
  <c r="N149"/>
  <c r="O149"/>
  <c r="N120"/>
  <c r="O120"/>
  <c r="Q108"/>
  <c r="R108"/>
  <c r="N157"/>
  <c r="O157"/>
  <c r="N158"/>
  <c r="O158"/>
  <c r="N173"/>
  <c r="O173"/>
  <c r="O160" s="1"/>
  <c r="Q160"/>
  <c r="N177"/>
  <c r="N186"/>
  <c r="N183" s="1"/>
  <c r="O186"/>
  <c r="O183" s="1"/>
  <c r="O189"/>
  <c r="P189"/>
  <c r="Q189"/>
  <c r="R189"/>
  <c r="O196"/>
  <c r="P196"/>
  <c r="Q196"/>
  <c r="S196"/>
  <c r="P203"/>
  <c r="P208"/>
  <c r="N214"/>
  <c r="N208" s="1"/>
  <c r="O214"/>
  <c r="O208" s="1"/>
  <c r="S208"/>
  <c r="N232"/>
  <c r="N215" s="1"/>
  <c r="N244"/>
  <c r="P244"/>
  <c r="Q244"/>
  <c r="R244"/>
  <c r="S244"/>
  <c r="S247"/>
  <c r="O252"/>
  <c r="P252"/>
  <c r="Q252"/>
  <c r="R252"/>
  <c r="S252"/>
  <c r="O262"/>
  <c r="O271"/>
  <c r="P271"/>
  <c r="O275"/>
  <c r="P275"/>
  <c r="Q289"/>
  <c r="R289"/>
  <c r="N313"/>
  <c r="O313"/>
  <c r="P313"/>
  <c r="Q313"/>
  <c r="R313"/>
  <c r="S313"/>
  <c r="N321"/>
  <c r="O321"/>
  <c r="N327"/>
  <c r="O327"/>
  <c r="O351"/>
  <c r="O362"/>
  <c r="P362"/>
  <c r="Q362"/>
  <c r="R362"/>
  <c r="N368"/>
  <c r="O368"/>
  <c r="O366" s="1"/>
  <c r="P366"/>
  <c r="Q366"/>
  <c r="S366"/>
  <c r="N379"/>
  <c r="O379"/>
  <c r="Q374"/>
  <c r="R374"/>
  <c r="O402"/>
  <c r="Q402"/>
  <c r="R402"/>
  <c r="N415"/>
  <c r="N402" s="1"/>
  <c r="O424"/>
  <c r="P424"/>
  <c r="R424"/>
  <c r="S424"/>
  <c r="N448"/>
  <c r="N439" s="1"/>
  <c r="O448"/>
  <c r="O439" s="1"/>
  <c r="P439"/>
  <c r="Q439"/>
  <c r="N449"/>
  <c r="O449"/>
  <c r="P449"/>
  <c r="Q449"/>
  <c r="R449"/>
  <c r="S449"/>
  <c r="N461"/>
  <c r="N454" s="1"/>
  <c r="O461"/>
  <c r="O454" s="1"/>
  <c r="P461"/>
  <c r="P454" s="1"/>
  <c r="Q454"/>
  <c r="R454"/>
  <c r="O464"/>
  <c r="P464"/>
  <c r="Q464"/>
  <c r="R464"/>
  <c r="S464"/>
  <c r="O469"/>
  <c r="P469"/>
  <c r="Q469"/>
  <c r="R469"/>
  <c r="S469"/>
  <c r="P474"/>
  <c r="N476"/>
  <c r="N474" s="1"/>
  <c r="O476"/>
  <c r="O474" s="1"/>
  <c r="Q474"/>
  <c r="S474"/>
  <c r="N482"/>
  <c r="N481" s="1"/>
  <c r="O482"/>
  <c r="P482"/>
  <c r="Q482"/>
  <c r="R482"/>
  <c r="S482"/>
  <c r="O493"/>
  <c r="O492" s="1"/>
  <c r="Q493"/>
  <c r="Q492" s="1"/>
  <c r="R493"/>
  <c r="R492" s="1"/>
  <c r="P493"/>
  <c r="P492" s="1"/>
  <c r="S493"/>
  <c r="S492" s="1"/>
  <c r="O506"/>
  <c r="P506"/>
  <c r="Q506"/>
  <c r="R506"/>
  <c r="S506"/>
  <c r="O509"/>
  <c r="P509"/>
  <c r="Q509"/>
  <c r="R509"/>
  <c r="N518"/>
  <c r="O518"/>
  <c r="N519"/>
  <c r="O519"/>
  <c r="N522"/>
  <c r="O522"/>
  <c r="Q522"/>
  <c r="R522"/>
  <c r="S522"/>
  <c r="N523"/>
  <c r="O523"/>
  <c r="P523"/>
  <c r="Q523"/>
  <c r="R523"/>
  <c r="S523"/>
  <c r="O525"/>
  <c r="Q525"/>
  <c r="R525"/>
  <c r="S525"/>
  <c r="N526"/>
  <c r="O526"/>
  <c r="Q526"/>
  <c r="R526"/>
  <c r="O527"/>
  <c r="O541"/>
  <c r="N565"/>
  <c r="N521" s="1"/>
  <c r="O565"/>
  <c r="O521" s="1"/>
  <c r="O569"/>
  <c r="P569"/>
  <c r="Q569"/>
  <c r="R569"/>
  <c r="S569"/>
  <c r="N577"/>
  <c r="O577"/>
  <c r="Q577"/>
  <c r="R577"/>
  <c r="S577"/>
  <c r="N582"/>
  <c r="O582"/>
  <c r="Q582"/>
  <c r="R582"/>
  <c r="S582"/>
  <c r="N590"/>
  <c r="O590"/>
  <c r="P590"/>
  <c r="Q590"/>
  <c r="R590"/>
  <c r="S590"/>
  <c r="N628"/>
  <c r="N622" s="1"/>
  <c r="O628"/>
  <c r="O622" s="1"/>
  <c r="O638"/>
  <c r="P638"/>
  <c r="Q638"/>
  <c r="R638"/>
  <c r="S638"/>
  <c r="N647"/>
  <c r="N643" s="1"/>
  <c r="Q647"/>
  <c r="Q643" s="1"/>
  <c r="R647"/>
  <c r="R643" s="1"/>
  <c r="S647"/>
  <c r="S643" s="1"/>
  <c r="O654"/>
  <c r="Q654"/>
  <c r="R654"/>
  <c r="S654"/>
  <c r="O690"/>
  <c r="Q695"/>
  <c r="R695"/>
  <c r="S695"/>
  <c r="N698"/>
  <c r="O698"/>
  <c r="N699"/>
  <c r="N705"/>
  <c r="O705"/>
  <c r="N716"/>
  <c r="O716"/>
  <c r="P716"/>
  <c r="Q716"/>
  <c r="R716"/>
  <c r="S716"/>
  <c r="N721"/>
  <c r="O721"/>
  <c r="P721"/>
  <c r="Q721"/>
  <c r="R721"/>
  <c r="S721"/>
  <c r="N740"/>
  <c r="O740"/>
  <c r="Q740"/>
  <c r="R740"/>
  <c r="S740"/>
  <c r="N745"/>
  <c r="O745"/>
  <c r="P745"/>
  <c r="Q745"/>
  <c r="R745"/>
  <c r="S745"/>
  <c r="N108" l="1"/>
  <c r="O108"/>
  <c r="P589"/>
  <c r="P587" s="1"/>
  <c r="P576" s="1"/>
  <c r="S439"/>
  <c r="R439"/>
  <c r="N69"/>
  <c r="N374"/>
  <c r="N373" s="1"/>
  <c r="Q481"/>
  <c r="Q8"/>
  <c r="P361"/>
  <c r="N695"/>
  <c r="N589" s="1"/>
  <c r="N587" s="1"/>
  <c r="N576" s="1"/>
  <c r="N366"/>
  <c r="N361" s="1"/>
  <c r="O318"/>
  <c r="S517"/>
  <c r="P515"/>
  <c r="N160"/>
  <c r="S160"/>
  <c r="R160"/>
  <c r="N318"/>
  <c r="P8"/>
  <c r="S520"/>
  <c r="O695"/>
  <c r="O589" s="1"/>
  <c r="R515"/>
  <c r="Q515"/>
  <c r="R481"/>
  <c r="P527"/>
  <c r="P481"/>
  <c r="R196"/>
  <c r="O69"/>
  <c r="O481"/>
  <c r="S189"/>
  <c r="S51"/>
  <c r="N525"/>
  <c r="N515" s="1"/>
  <c r="N508" s="1"/>
  <c r="O361"/>
  <c r="S361"/>
  <c r="R366"/>
  <c r="R361" s="1"/>
  <c r="P373"/>
  <c r="S589"/>
  <c r="S587" s="1"/>
  <c r="S576" s="1"/>
  <c r="S481"/>
  <c r="S402"/>
  <c r="S374" s="1"/>
  <c r="O374"/>
  <c r="O373" s="1"/>
  <c r="O515"/>
  <c r="Q373"/>
  <c r="Q361"/>
  <c r="R589"/>
  <c r="R587" s="1"/>
  <c r="R576" s="1"/>
  <c r="Q589"/>
  <c r="Q587" s="1"/>
  <c r="Q576" s="1"/>
  <c r="R474"/>
  <c r="S454"/>
  <c r="S289"/>
  <c r="S108"/>
  <c r="S69"/>
  <c r="O587" l="1"/>
  <c r="O576" s="1"/>
  <c r="S515"/>
  <c r="S508" s="1"/>
  <c r="R8"/>
  <c r="R7" s="1"/>
  <c r="N8"/>
  <c r="N7" s="1"/>
  <c r="S8"/>
  <c r="S7" s="1"/>
  <c r="O8"/>
  <c r="O7" s="1"/>
  <c r="P508"/>
  <c r="Q508"/>
  <c r="R508"/>
  <c r="R373"/>
  <c r="P7"/>
  <c r="Q7"/>
  <c r="S373"/>
  <c r="O508"/>
  <c r="S6" l="1"/>
  <c r="S753" s="1"/>
  <c r="N6"/>
  <c r="N753" s="1"/>
  <c r="Q6"/>
  <c r="Q753" s="1"/>
  <c r="R6"/>
  <c r="R753" s="1"/>
  <c r="P6"/>
  <c r="P753" s="1"/>
  <c r="O6"/>
  <c r="O753" s="1"/>
</calcChain>
</file>

<file path=xl/sharedStrings.xml><?xml version="1.0" encoding="utf-8"?>
<sst xmlns="http://schemas.openxmlformats.org/spreadsheetml/2006/main" count="3656" uniqueCount="1697">
  <si>
    <t xml:space="preserve">Код строки
</t>
  </si>
  <si>
    <t xml:space="preserve">Код расхода по БК
</t>
  </si>
  <si>
    <t>1</t>
  </si>
  <si>
    <t>1.5.4.2.39. разработка и утверждение программ комплексного развития систем коммунальной инфраструктуры поселений, программ комплексного развития транспортной инфраструктуры поселений, программ комплексного развития социальной инфраструктуры поселений,  требования к которым устанавливаются Правительством Российской Федерации</t>
  </si>
  <si>
    <t xml:space="preserve">Российской Федерации
</t>
  </si>
  <si>
    <t>субъекта Российской Федерации</t>
  </si>
  <si>
    <t>номер статьи,(подстатьи), пункта (подпункта)</t>
  </si>
  <si>
    <t xml:space="preserve">дата вступления в силу и срок действия
</t>
  </si>
  <si>
    <t>раздел</t>
  </si>
  <si>
    <t>подраздел</t>
  </si>
  <si>
    <t>3</t>
  </si>
  <si>
    <t>4</t>
  </si>
  <si>
    <t>5</t>
  </si>
  <si>
    <t>6</t>
  </si>
  <si>
    <t>7</t>
  </si>
  <si>
    <t>8</t>
  </si>
  <si>
    <t>10</t>
  </si>
  <si>
    <t>11</t>
  </si>
  <si>
    <t>12</t>
  </si>
  <si>
    <t>13</t>
  </si>
  <si>
    <t>14</t>
  </si>
  <si>
    <t>1000</t>
  </si>
  <si>
    <t xml:space="preserve">
x
</t>
  </si>
  <si>
    <t>1001</t>
  </si>
  <si>
    <t xml:space="preserve">
</t>
  </si>
  <si>
    <t>01</t>
  </si>
  <si>
    <t>06</t>
  </si>
  <si>
    <t>05</t>
  </si>
  <si>
    <t>02</t>
  </si>
  <si>
    <t>04</t>
  </si>
  <si>
    <t>09</t>
  </si>
  <si>
    <t>08</t>
  </si>
  <si>
    <t>03</t>
  </si>
  <si>
    <t>07</t>
  </si>
  <si>
    <t>1024</t>
  </si>
  <si>
    <t>1100</t>
  </si>
  <si>
    <t>1.3.1.6. создание условий для развития туризма</t>
  </si>
  <si>
    <t>Итого расходных обязательств муниципальных образований</t>
  </si>
  <si>
    <t>8000</t>
  </si>
  <si>
    <t>муниципального образования</t>
  </si>
  <si>
    <t>Федеральный Закон от 06.10.2003 № 131-ФЗ "Об общих принципах организации местного самоуправления"</t>
  </si>
  <si>
    <t>06.10.2003, не установлен</t>
  </si>
  <si>
    <t>01.01.2006, не установлен</t>
  </si>
  <si>
    <t>Федеральный Закон от 02.03.2007 № 25-ФЗ "О муниципальной службе в РФ"</t>
  </si>
  <si>
    <t>01.06.2007, не установлен</t>
  </si>
  <si>
    <t>01.01.2008, не установлен</t>
  </si>
  <si>
    <t>29.02.1993, не установлен</t>
  </si>
  <si>
    <t>01.01.2005, не установлен</t>
  </si>
  <si>
    <t>в целом</t>
  </si>
  <si>
    <t>13.08.2014, не установлен</t>
  </si>
  <si>
    <t>п. 1</t>
  </si>
  <si>
    <t>23.04.2012, не установлен</t>
  </si>
  <si>
    <t>п.1-3</t>
  </si>
  <si>
    <t>ст. 15, п.1, п.п. 3</t>
  </si>
  <si>
    <t xml:space="preserve">
Гл. 1-2 Положения</t>
  </si>
  <si>
    <t xml:space="preserve">
13.07.2010, не установлен</t>
  </si>
  <si>
    <t>01.08.2006, не установлен</t>
  </si>
  <si>
    <t>01.01.2014, не установлен</t>
  </si>
  <si>
    <t>п.1</t>
  </si>
  <si>
    <t>10.09.2012, не установлен</t>
  </si>
  <si>
    <t>Решение Думы Колпашевского района от 23.04.2012 № 46 "О порядке расходования денежных средств, выделенных бюджету муниципального образования "Колпашевский район" из бюджета Томской области"</t>
  </si>
  <si>
    <t>Федеральный Закон от 21.12.1994 № 68-ФЗ "О защите населения и территорий от чрезвычайных ситуаций природного и техногенного характера"</t>
  </si>
  <si>
    <t>ст. 24</t>
  </si>
  <si>
    <t>24.12.1994, не установлен</t>
  </si>
  <si>
    <t>Закон Томской области от 11.11.2005 N 206-ОЗ "О защите населения и территорий Томской области от чрезвычайных ситуаций природного и техногенного характера"</t>
  </si>
  <si>
    <t>03.12.2005, не установлен</t>
  </si>
  <si>
    <t>в том числе:</t>
  </si>
  <si>
    <t>Решение Думы Колпашевского района от 29.11.2006 № 236 "Об утверждении Положения о порядке утилизации и переработки твердых бытовых отходов и промышленных отходов III-IV класса опасности и о порядке размещения, обустройства и содержания полигонов и санкционированных объектов в МО "Колпашевский район" (в редакции от 02.07.2009 № 682, от 16.12.2013 № 129)</t>
  </si>
  <si>
    <t>п.1-3 Положения</t>
  </si>
  <si>
    <t>01.07.2007, не установлен</t>
  </si>
  <si>
    <t xml:space="preserve">Решение Думы Колпашевского района от 29.11.2006 № 236 "Об утверждении Положения о порядке утилизации и переработки твердых бытовых отходов и промышленных отходов III-IV класса опасности и о порядке размещения, обустройства и содержания полигонов и санкционированных объектов в МО "Колпашевский район" (в редакции от 02.07.2009 № 682, от 16.12.2013 № 129)
</t>
  </si>
  <si>
    <t>Постановление Администрации Томской области от 05.06.2014 N 215а "О Порядке предоставления иных межбюджетных трансфертов на приобретение модульных фельдшерско-акушерских пунктов"</t>
  </si>
  <si>
    <t>05.06.2014- 31.12.2014</t>
  </si>
  <si>
    <t>Решение Думы Колпашевского района от 26.01.2015 № 8 "Об утверждении положения о создании условий для оказания медицинской помощи населению на территории Колпашевского района в соответствии с территориальной программой государственных гарантий бесплатного оказания гражданам медицинской помощи"</t>
  </si>
  <si>
    <t>26.01.2015, не установлен</t>
  </si>
  <si>
    <t xml:space="preserve">Постановление Администрации Колпашеского района от 01.10.2014 № 1130 "О порядке расходования межбюджетного трансферта из областного бюджета бюджету муниципального образования «Колпашевский район» на приобретение модульных фельдшерско-акушерских пунктов" (в редакции от 19.12.2014 № 1534, от 27.12.2014 № 1160, от 04.03.2015 № 266)
</t>
  </si>
  <si>
    <t>01.10.2014- 31.03.2015</t>
  </si>
  <si>
    <t>Решение Думы Колпашевского района от 28.12.2005 № 50 "Об утверждении Положения о муниципальном архиве Колпашевского района"</t>
  </si>
  <si>
    <t>ст. 10</t>
  </si>
  <si>
    <t>08.07.2007, не установлен</t>
  </si>
  <si>
    <t>01.01.2015, не установлен</t>
  </si>
  <si>
    <t>01.01.2013, не установлен</t>
  </si>
  <si>
    <t>Решение Думы Колпашевскогот района от 29.04.2013 № 35 "О порядке использования средств бюджета муниципального образования "Колпашевский район" на реализацию мероприятий, направленных на содействие развитию малого и среднего предпринимательства" (в редакции от 05.09.2013 № 72, от 13.08.2014 № 76)</t>
  </si>
  <si>
    <t>29.04.2013, не установлен</t>
  </si>
  <si>
    <t>ст. 1</t>
  </si>
  <si>
    <t xml:space="preserve">п. 2-5 Положения,      </t>
  </si>
  <si>
    <t>30.03.2007, не установлен</t>
  </si>
  <si>
    <t>01.01.2007, не установлен</t>
  </si>
  <si>
    <t>(684)</t>
  </si>
  <si>
    <t>Решение Думы Колпашевского района от 15.12.2014 № 161 "О порядке расходования денежных средств, выделенных бюджету муниципального образования "Колпашевский район" на осуществление переданных полномочий по решению вопросов местного значения поселений Колпашевского района"</t>
  </si>
  <si>
    <t>Решение Думы Колпашевского района от 15.12.2014 № 160 "Об организации библиотечного обслуживания населения сельских поселений Колпашевского района, комплектовании и обеспечении сохранности библиотечных фондов библиотек сельских поселений Колпашевского района"</t>
  </si>
  <si>
    <t>Постановление Администрации Колпашевского района от 30.01.2015 № 79 "Об утверждении Порядка расходования иных межбюджетных трансфертов, выделяемых бюджету муниципального образования "Колпашевский район" на осуществление переданных полномочий по решению вопроса местного значения по организации библиотечного обслуживания населения, комплектованию и обеспечению сохранности библиотечных фондов библиотек Колпашевского городского поселения"</t>
  </si>
  <si>
    <t>ст. 34</t>
  </si>
  <si>
    <t>Решение Думы Колпашевского района от 08.10.2005 № 418 "Об утверждении положений " (Приложение 1)</t>
  </si>
  <si>
    <t xml:space="preserve">п.2-4 Положения </t>
  </si>
  <si>
    <t xml:space="preserve">01.01.2006, не установлен </t>
  </si>
  <si>
    <t>06.10.2003, не утановлен</t>
  </si>
  <si>
    <t>п.1-2</t>
  </si>
  <si>
    <t>31.05.2006, не установлен</t>
  </si>
  <si>
    <t>Решение Думы Колпашевского района от 25.03.2015 № 30 "О порядке расходования денежных средств, выделенных бюджету муниципального образования "Колпашевский район" на осуществление переданных полномочий по решению вопросов местного значения"</t>
  </si>
  <si>
    <t>ст.17, п.1, п.п. 3</t>
  </si>
  <si>
    <t>Решение Думы Колпашевского района от 14.07.2006 № 176 "О финансировании расходов, связанных с размещением заказа на поставку товаров, выполнение работ и оказание услуг для муниципальных нужд" (в редакции от 28.04.2008 № 467)</t>
  </si>
  <si>
    <t>п. 1-4</t>
  </si>
  <si>
    <t>14.07.2006, не установлен</t>
  </si>
  <si>
    <t>Постановление Правительства РФ от 30.12.2003 N 794 "О единой государственной системе предупреждения и ликвидации чрезвычайных ситуаций"</t>
  </si>
  <si>
    <t>п.8, п.9, п.20, п.30</t>
  </si>
  <si>
    <t>20.01.2004, не установлен</t>
  </si>
  <si>
    <t>Постановление Администрации Томской области от 17.08.2007 N 122а "Об утверждении Положения о территориальной подсистеме единой государственной системы предупреждения и ликвидации чрезвычайных ситуаций Томской области"</t>
  </si>
  <si>
    <t>п. 32</t>
  </si>
  <si>
    <t>17.08.2007, не установлен</t>
  </si>
  <si>
    <t>20.11.2015, не установлен</t>
  </si>
  <si>
    <t>ст.57, п.1, п.2</t>
  </si>
  <si>
    <t>25.06.2002, не установлен</t>
  </si>
  <si>
    <t>ст. 22, п.1</t>
  </si>
  <si>
    <t>29.01.2007, не установлен</t>
  </si>
  <si>
    <t>Федеральный закон от 26.11.1996 № 138-ФЗ "Об обеспечении конституционных прав граждан Российской Федерации избирать и быть избранными в органы местного самоуправления"</t>
  </si>
  <si>
    <t>ст.4, п.4</t>
  </si>
  <si>
    <t>02.12.1996, не установлен</t>
  </si>
  <si>
    <t>Закон Томской области от 14.02.2005 № 29-ОЗ "О муниципальных выборах в Томской области"</t>
  </si>
  <si>
    <t>ст. 46, п.1</t>
  </si>
  <si>
    <t>26.02.2005, не установлен</t>
  </si>
  <si>
    <t>с. 17, п.1, п.п. 5</t>
  </si>
  <si>
    <t>Закон Томской области от 10.04.2003 № 50-ОЗ "Об избирательных комиссиях, комиссиях референдума в Томской области"</t>
  </si>
  <si>
    <t>ст.15, п.1</t>
  </si>
  <si>
    <t>06.05.2003, не установлен</t>
  </si>
  <si>
    <t>Федеральный закон от 10.01.2003 № 20-ФЗ "О Государственной автоматизированной системе Российской Федерации "Выборы"</t>
  </si>
  <si>
    <t>ст.25, п.1, п.2</t>
  </si>
  <si>
    <t>24.01.2003, не установлен</t>
  </si>
  <si>
    <t>Решение Думы Колпашевского района от 08.10.2005 № 417 "О Положении об организации профессиональной подготовки кадров органов местного самоуправления Колпашевского района и работников органов Администрации Колпашевского района" (в редакции от 17.06.2013 № 57)</t>
  </si>
  <si>
    <t>п. 1-3</t>
  </si>
  <si>
    <t xml:space="preserve">01.01.2012, не установлен </t>
  </si>
  <si>
    <t>Решение Думы Колпашевского района от 26.01.2015 № 8 "Об утверждении положения о создании условий для оказания медицинской помощи населению на территории Колпашевского района в соответствии с территориальной программой государственных гарантий бесплатного оказания гражданам медицинской помощи" (в редакции от 27.11.2015 № 39)</t>
  </si>
  <si>
    <t>Федеральный Закон от 12.01.1996 № 7-ФЗ "О некоммерческих организациях"</t>
  </si>
  <si>
    <t>ст. 31</t>
  </si>
  <si>
    <t>24.01.1996, не установлен</t>
  </si>
  <si>
    <t>Решение Думы Колпашевского района от 25.11.2013 № 107 "О финансировании за счет средств бюджета МО "Колпашевский район" мероприятий направленных на поддержку социально-орентированных некомерческих организаций, не являющихся муниципальными учреждениями" (в редакции от 15.12.2014 № 154)</t>
  </si>
  <si>
    <t>25.11.2013, не установлен</t>
  </si>
  <si>
    <t>Федеральный закон от 21 декабря 1996 г. N 159-ФЗ "О дополнительных гарантиях по социальной поддержке детей-сирот и детей, оставшихся без попечения родителей"</t>
  </si>
  <si>
    <t>ст.8</t>
  </si>
  <si>
    <t>23.12.1998, не установлен</t>
  </si>
  <si>
    <t>Решение Думы Колпашевского района от 25.11.2011 № 150 "О порядке расходования бюджетных ассигнований, выделенных бюджету муниципального образования «Колпашевский район» из бюджета Томской области на исполнение судебных решений"</t>
  </si>
  <si>
    <t>25.11.2011, не установлен</t>
  </si>
  <si>
    <t>Ст. 4, п. 2,3 Положения</t>
  </si>
  <si>
    <t>Решение Думы Колпашевского района от 31.10.2006 № 222 "Об утверждении положения о присвоении звания "Человек года" на территории муниципального образования "Колпашевский район"</t>
  </si>
  <si>
    <t>Гл. 6- 9 Положения</t>
  </si>
  <si>
    <t>31.10.2006, не установлен</t>
  </si>
  <si>
    <t>п.2</t>
  </si>
  <si>
    <t>19.12.2012, не установлен</t>
  </si>
  <si>
    <t>Закон Томской области от 07.09.2009 N 169-ОЗ "О взаимодействии органов государственной власти Томской области с Ассоциацией "Совет муниципальных образований Томской области"</t>
  </si>
  <si>
    <t>ст. 6,7</t>
  </si>
  <si>
    <t>26.09.2009, не установлен</t>
  </si>
  <si>
    <t>Решение Думы Колпашевского района от 28.02.2006 № 82 "О вступлении в Совет Муниципальных образований Томской области" (в редакции от 22.12.2006 № 255, от 26.02.2010 № 814 )</t>
  </si>
  <si>
    <t>28.02.2006, не установлен</t>
  </si>
  <si>
    <t>Федеральный закон от 20.08.2004 N 113-ФЗ "О присяжных заседателях федеральных судов общей юрисдикции в Российской Федерации"</t>
  </si>
  <si>
    <t>ст. 5, п. 14</t>
  </si>
  <si>
    <t xml:space="preserve">Закон Томской области от 29.12.2007 N 320-ОЗ "Об утверждении Методики распределения субвенций между бюджетами муниципальных образований Томской области на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t>
  </si>
  <si>
    <t>01.07.2010 - до окончания срока действия ЗТО от 29.12.2007 № 320-ОЗ</t>
  </si>
  <si>
    <t>Федеральный закон от 22.10.2004 N 125-ФЗ "Об архивном деле в Российской Федерации"</t>
  </si>
  <si>
    <t>27.10.2004, не установлен</t>
  </si>
  <si>
    <t xml:space="preserve">Закон Томской области от 10.11.2006 N 261-ОЗ "О наделении органов местного самоуправления отдельными государственными полномочиями по хранению, комплектованию, учету и использованию архивных документов, относящихся к собственности Томской области" </t>
  </si>
  <si>
    <t>вводиться в действие ежегодно</t>
  </si>
  <si>
    <t>п.1-4</t>
  </si>
  <si>
    <t>01.07.2010, до окончания срока действия ЗТО от 10.11.2006 № 261-ОЗ</t>
  </si>
  <si>
    <t>п. 1-5</t>
  </si>
  <si>
    <t xml:space="preserve">Постановление Администрации Колпашевского района от 29.06.2010 № 845 "Об установлении расходных обязательств по осуществлению отдельных государственных полномочий по расчету и предоставлению дотаций поселениям, входящим в состав МО "Колпашевский район" </t>
  </si>
  <si>
    <t>01.07.2010, до окончания действия ЗТО от 14.10.2005 № 191-ОЗ</t>
  </si>
  <si>
    <t>01.09.2013, не установлен</t>
  </si>
  <si>
    <t>ст.47, ч.5, п.7</t>
  </si>
  <si>
    <t>ст. 2-5</t>
  </si>
  <si>
    <t xml:space="preserve">01.07.2010-до окончания срока действия ЗТО от 15.12.2004 № 248-ОЗ </t>
  </si>
  <si>
    <t>ст. 8</t>
  </si>
  <si>
    <t xml:space="preserve">Закон Томской области от 11.09.2007 N 188-ОЗ "О наделении органов местного самоуправления государственными полномочиями по обеспечению жилыми помещениями детей-сирот и детей, оставшихся без попечения родителей, а также лиц из их числа, не имеющих закрепленного жилого помещения" </t>
  </si>
  <si>
    <t>ст. 3,6</t>
  </si>
  <si>
    <t>01.01.2008, вводиться ежегодно ЗТО "Об областном бюджете на очередной финансовый год"</t>
  </si>
  <si>
    <t>Постановление Администрации Колпашевского района от 30.06.2010 № 863 "Об установлении расходных обязательств по осуществлению отдельных государственных полномочий" (в редакцтт от 19.06.2012 № 577, от 13.02.2013 № 119)</t>
  </si>
  <si>
    <t xml:space="preserve">01.07.2010, до окончания срока действия ЗТО от 11.09.2007 № 188-ОЗ </t>
  </si>
  <si>
    <t>Федеральный закон от 24.04.2008 N 48-ФЗ "Об опеке и попечительстве"</t>
  </si>
  <si>
    <t>01.09.2008, не установлен</t>
  </si>
  <si>
    <t>Закон Томской области от 15.12.2004 N 246-ОЗ "О наделении органов местного самоуправления отдельными государственными полномочиями в области социальной поддержки в отношении детей-сирот и детей, оставшихся без попечения родителей, а также лиц из числа детей-сирот и детей, оставшихся без попечения родителей"</t>
  </si>
  <si>
    <t>ст.1 п.п.1)</t>
  </si>
  <si>
    <t>п.1.3.</t>
  </si>
  <si>
    <t xml:space="preserve">01.07.2010- до окончания срока действия ЗТО от 15.12.2004 № 246-ОЗ </t>
  </si>
  <si>
    <t>ст.47</t>
  </si>
  <si>
    <t>ст.5</t>
  </si>
  <si>
    <t>01.01.2014, до окончания действия ЗТО от 09.12.2013 № 214-ОЗ</t>
  </si>
  <si>
    <t>23.12.1996, не установлен</t>
  </si>
  <si>
    <t>вводится в действие ежегодно</t>
  </si>
  <si>
    <t>п.1.3</t>
  </si>
  <si>
    <t>01.07.2010, до окончания срока действия ЗТО от 15.12.2004 № 246-ОЗ</t>
  </si>
  <si>
    <t>Кодекс Российской Федерации об административных правонарушениях
от 30 декабря 2001 г. N 195-ФЗ</t>
  </si>
  <si>
    <t>ст.22.1</t>
  </si>
  <si>
    <t>01.07.2002, не установлен</t>
  </si>
  <si>
    <t>Закон Томской области от 24.11.2009 N 261-ОЗ "О наделении органов местного самоуправления отдельными государственными полномочиями по созданию и обеспечению деятельности административных комиссий в Томской области"</t>
  </si>
  <si>
    <t>ст.4</t>
  </si>
  <si>
    <t>Постановление Администрации Колпашевского района от 30.06.2010 № 865 "Об установлении расходного обязательства МО "Колпашевский район" по осуществлению отдельных государственных полномочий по созданию и обеспечению деятельности административных комиссий"</t>
  </si>
  <si>
    <t>01.07.2010, до окончания срока действия ЗТО от 24.11.2009 № 261-ОЗ</t>
  </si>
  <si>
    <t>Федеральный закон от 24.06.1999 N 120-ФЗ "Об основах системы профилактики безнадзорности и правонарушений несовершеннолетних"</t>
  </si>
  <si>
    <t>ст. 2, п.п.2; ст. 11, п.п. 1;  ст. 25, п.п. 1, п.п. 3</t>
  </si>
  <si>
    <t>28.06.1999, не установлен</t>
  </si>
  <si>
    <t>Закон Томской области от 29.12.2005 N 241-ОЗ "О наделении органов местного самоуправления государственными полномочиями по созданию и обеспечению деятельности комиссий по делам несовершеннолетних и защите их прав"</t>
  </si>
  <si>
    <t>Ст. 1-3</t>
  </si>
  <si>
    <t>Постановление Администрации Колпашевского района от 30.06.2010 № 860 "Об установлении расходного обязательства муниципального образования "Колпашевский район" по осуществлению отдельных государственных полномочий по созданию и обеспечению деятельности комиссий по делам несовершенннолетних и защите их прав"</t>
  </si>
  <si>
    <t>01.07.2010, до окончания срока действия ЗТО от 29.12.2005 № 241-ОЗ</t>
  </si>
  <si>
    <t>27.12.1998, не установлен</t>
  </si>
  <si>
    <t>Закон Томской области от 28.12.2007 № 298-ОЗ "О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t>
  </si>
  <si>
    <t>01.07.2010, до окнчания срока действия ЗТО от 28.12.2007 № 298-ОЗ</t>
  </si>
  <si>
    <t xml:space="preserve">Закон Томской области от 07.07.2009 N 104-ОЗ "О наделении органов местного самоуправления отдельными государственными полномочиями по предоставлению, переоформлению и изъятию горных отводов для разработки месторождений и проявлений общераспространенных полезных ископаемых" </t>
  </si>
  <si>
    <t>ст. 7 п.1</t>
  </si>
  <si>
    <t>Постановление Администрации Колпашевского района от 30.06.2010 № 866 "Об установлении расходного обязательства МО "Колпашевский район" по осуществлению отдельных государственных полномочий по предоставлению, переоформлению и изъятию горных отводов для разработки месторождений и проявлений общераспространенных полезных ископаемых в Томской области"</t>
  </si>
  <si>
    <t>01.07.2010- до окончания срока действия ЗТО от 07.07.2009 № 104-ОЗ</t>
  </si>
  <si>
    <t>Закон Томской области от 09.12.2013 N 216-ОЗ "О наделении органов местного самоуправления отдельными государственными полномочиями по регистрации коллективных договоров"</t>
  </si>
  <si>
    <t>Постановление Администрации Колпашевского района от 30.12.2013 № 1405 "Об установлении расходных обязательств по осуществлению отдельных государственных полномочий по регистрации коллективных договоров"</t>
  </si>
  <si>
    <t>01.01.2014, до окончания срока действия ЗТО от 09.12.2013 № 216-ОЗ</t>
  </si>
  <si>
    <t>Постановление Администрации Колпашевского района от 02.07.2013 № 625 "Об установлении расходного обязательства муниципального образования "Колпашевский район" по осуществлению отдельных государственных полномочий по Томской области по регулированию численности безнадзорных животных на территории муниципального образования "Колпашевский район"</t>
  </si>
  <si>
    <t>01.06.2013, до окончания действия ЗТО от 11.04.2013 № 51-ОЗ</t>
  </si>
  <si>
    <t xml:space="preserve">Закон Томской области от 18.03.2003 N 36-ОЗ "О наделении органов местного самоуправления Томской области отдельными государственными полномочиями по регулированию тарифов на перевозки пассажиров и багажа всеми видами общественного транспорта в городском, пригородном и междугородном сообщении (кроме железнодорожного транспорта) по городским, пригородным и междугородным муниципальным маршрутам" </t>
  </si>
  <si>
    <t>ст. 2-4</t>
  </si>
  <si>
    <t>п.1-6</t>
  </si>
  <si>
    <t>01.07.2010-До окончания срока действия ЗТО от 18.03.2003 № 36-ОЗ</t>
  </si>
  <si>
    <t>Постановление Администрации Колпашевского района от 15.01.2014 № 15 "Об установлении расходных обязательств по осуществлению отдельных государственных полномочий, переданных в соответствии с Законом Томской области от 09.12.2013 № 213-ОЗ"</t>
  </si>
  <si>
    <t>01.01.2014, до окончания действия ЗТО от 09.12.2013 № 213-ОЗ</t>
  </si>
  <si>
    <t>Федеральный закон от 25.10.2002 № 125-ФЗ "О жилищных субсидиях гражданам, выезжающим из районов Крайнего Севера и приравненных к ним местностей"</t>
  </si>
  <si>
    <t>ст. 3</t>
  </si>
  <si>
    <t>01.01.2003, не установлен</t>
  </si>
  <si>
    <t xml:space="preserve">Закон Томской области от 13.04.2006 N 73-ОЗ "О наделении органов местного самоуправления государственными полномочиями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</si>
  <si>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01.01.2011, не установлен</t>
  </si>
  <si>
    <t>01.01.2013 не установлен</t>
  </si>
  <si>
    <t>ст. 15</t>
  </si>
  <si>
    <t>16.07.2012, не установлен</t>
  </si>
  <si>
    <t>ст. 8, п. 2</t>
  </si>
  <si>
    <t>21.12.2015- 25.12.2015</t>
  </si>
  <si>
    <t>1939 (357)</t>
  </si>
  <si>
    <t>Решение Думы Колпашевского района от 21.12.2015 № 51 "О предоставлении иных межбюджетных трансфертов поселениям Колпашевского района на разработку программ комплексного развития коммунальной инфраструктуры"</t>
  </si>
  <si>
    <t>ст. 22</t>
  </si>
  <si>
    <t>Решение Думы Колпашевского района от 28.08.2009 № 691 "О введении НСОТ работников муниципальных общеобразовательных учреждений" (в редакции от 07.12.2009 № 742, от 25.12.2009 № 755, от 24.05.2010 № 838, от 24.05.2012 № 83, от 28.05.2014 № 50, от 27.04.2015 № 35)</t>
  </si>
  <si>
    <t xml:space="preserve">Закон Томской области от 28.12.2010 N 336-ОЗ "О предоставлении межбюджетных трансфертов" </t>
  </si>
  <si>
    <t>абз 7 п.1 ст.1</t>
  </si>
  <si>
    <t>ст. 23</t>
  </si>
  <si>
    <t>Решение Думы Колпашевского района от 26.01.2015 № 1 "Об утверждении Положения о порядке финансирования расходов на создание условий для осуществления присмотра и ухода за детьми, содержание детей в муниципальных образовательных организациях муниципального образования "Колпашевский район" за счет средств бюджета муниципального образования "Колпашевский район"  (в редакции решения от 29.02.2016 № 7)</t>
  </si>
  <si>
    <t>01.09.2019, не установлен</t>
  </si>
  <si>
    <t>01.01.2010, не установлен</t>
  </si>
  <si>
    <t>01.04.2013, не установлен</t>
  </si>
  <si>
    <t>ст. 15, п.1, п.п. 4</t>
  </si>
  <si>
    <t>ст. 22, 23, 24</t>
  </si>
  <si>
    <t xml:space="preserve">ст. 15, п.1, п.п. 11.                                                                                                                                                                                </t>
  </si>
  <si>
    <t xml:space="preserve">Закон Томской области от 12.08.2013 № 149-ОЗ "Об образовании в Томской области" </t>
  </si>
  <si>
    <t xml:space="preserve"> Федеральный закон от 29.12.2012 № 273-ФЗ "Об образовании в Российской Федерации" </t>
  </si>
  <si>
    <t>Федеральный закон от 06.10.2003 № 131-ФЗ "Об общих принципах организации местного самоуправления в РФ"</t>
  </si>
  <si>
    <t>Гл.3, ст.15, п.1, п.п.12</t>
  </si>
  <si>
    <t>Гл.3, ст.15, часть 1, п.19.2</t>
  </si>
  <si>
    <t>Решение Думы Колпашевского района от 25.12.2009 № 774 "О порядке использования средств бюджета муниципального образования "Колпашевский район" на реализацию мероприятий по созданию условий для развития местного традиционного народного художественного творчества в поселениях, входящих в состав Колпашевского района" (в редакции от 16.04.2010 № 824, от 23.04.2012 № 66, от 28.04.2014 № 40, от 15.12.2014 № 152, от 25.03.2015 № 28)</t>
  </si>
  <si>
    <t xml:space="preserve">Закон Томской области от 11.09.2007 N 198-ОЗ "О муниципальной службе в Томской области" </t>
  </si>
  <si>
    <t xml:space="preserve">Закон Томской области от 14.05.2005 N 78-ОЗ "О гарантиях и компенсациях за счет средств областного бюджета для лиц, проживающих в местностях, приравненных к районам Крайнего Севера" </t>
  </si>
  <si>
    <t>Закон РФ от 19.02.1993 N 4520-I "О государственных гарантиях и компенсациях для лиц, работающих и проживающих в районах Крайнего Севера и приравненных к ним местностях"</t>
  </si>
  <si>
    <t>Федеральный закон от 12.06.2002 N 67-ФЗ "Об основных гарантиях избирательных прав и права на участие в референдуме граждан Российской Федерации"</t>
  </si>
  <si>
    <t>Закон Томской области от 12.01.2007 N 29-ОЗ "О референдуме Томской области и местном референдуме"</t>
  </si>
  <si>
    <t>ст. 17, п.1, п.п.1</t>
  </si>
  <si>
    <t>Гл.3, ст.17, п. 1, п.п. 9.</t>
  </si>
  <si>
    <t>Федеральный закон от 21.12.1996 N 159-ФЗ "О дополнительных гарантиях по социальной поддержке детей-сирот и детей, оставшихся без попечения родителей"</t>
  </si>
  <si>
    <t>Постановление Администрации Колпашевского района от 02.04.2010 № 512 "Об утверждении Методологии расчёта долговой нагрузки на бюджет муниципального образования "Колпашевский район"  с учётом действующих и планируемых к принятию долговых обязательств  на  среднесрочный прогноз"</t>
  </si>
  <si>
    <t>02.04.2010, не установлен</t>
  </si>
  <si>
    <t>28.04.2014, не установлен</t>
  </si>
  <si>
    <t>16.04.2015, не установлен</t>
  </si>
  <si>
    <t>Федеральный закон от 21 июля 2005 г. N 108-ФЗ
"О Всероссийской сельскохозяйственной переписи"</t>
  </si>
  <si>
    <t>21.06.2005, не установлен</t>
  </si>
  <si>
    <t>1020</t>
  </si>
  <si>
    <t>Решение Думы Колпашевского района от 13.08.2014 № 75 "О финансировании за счет средств бюджета муниципального образования "Колпашевский район" мероприятий, направленных на поддержку садоводчиских, огороднических и дачных некомерческих объединений"</t>
  </si>
  <si>
    <t>01.07.2010, до окончания действия ЗТО от 29.12.2005 № 248-ОЗ</t>
  </si>
  <si>
    <t>п.2,3 порядка</t>
  </si>
  <si>
    <t>01.01.2012, не установлен</t>
  </si>
  <si>
    <t>Федеральный закон от 29.12.2006 N 264-ФЗ "О развитии сельского хозяйства"</t>
  </si>
  <si>
    <t>ст.7, п.1-2</t>
  </si>
  <si>
    <t>11.01.2007, не установлен</t>
  </si>
  <si>
    <t>Закон Томской области от 29.12.2005 N 248-ОЗ "О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t>
  </si>
  <si>
    <t>ст. 4,5</t>
  </si>
  <si>
    <t>Закон Российской Федерации от 21.02.1992 N 2395-I "О недрах"</t>
  </si>
  <si>
    <t>ст.3</t>
  </si>
  <si>
    <t>21.02.1992, не установлен</t>
  </si>
  <si>
    <t xml:space="preserve">Решение Думы Колпашевского района  от 23.04.2012 № 46 " О порядке расходования денежных средств, выделенных бюджету муниципального образования "Колпашевский район" из бюджета Томской области"
</t>
  </si>
  <si>
    <t>01.01.2016, не установлен</t>
  </si>
  <si>
    <t>Решение Думы Колпашевского района от 28.06.2016 № 56 "О порядке и случаях использования собственных материальных ресурсов и финансовых средств муниципального образования "Колпашевский район" для осуществления переданных полномочий по решению вопросов местного значения поселений Колпашевского района"</t>
  </si>
  <si>
    <t>28.06.2016, не установлен</t>
  </si>
  <si>
    <t>01.01.2017, не установлен</t>
  </si>
  <si>
    <t>23.05.2012, не установлен</t>
  </si>
  <si>
    <t>01.09.2015, не установлен</t>
  </si>
  <si>
    <t>(208 567)</t>
  </si>
  <si>
    <t>09.10.1992, не установлен</t>
  </si>
  <si>
    <t>Федеральный закон от 04.12.2007 N 329-ФЗ "О физической культуре и спорте в Российской Федерации"</t>
  </si>
  <si>
    <t>ст.9</t>
  </si>
  <si>
    <t>30.03.2008, не установлен</t>
  </si>
  <si>
    <t>Закон Томской области от 07.06.2010 N 94-ОЗ "О физической культуре и спорте в Томской области"</t>
  </si>
  <si>
    <t>27.06.2010, не установлен</t>
  </si>
  <si>
    <t>ст.19-1</t>
  </si>
  <si>
    <t>(499 710)</t>
  </si>
  <si>
    <t>(100 300)</t>
  </si>
  <si>
    <t>Решение Думы Колпашевского района от 28.03.2017 № 15 "О финансировании расходов на обеспечение условий для развития физической культуры и массового спорта на территории Колпашевского района"</t>
  </si>
  <si>
    <t>Постановление Администрации Колпашевского района от 30.12.2014 № 1636 "Об утверждении Порядка организации библиотечного обслуживания населения сельских поселений Колпашевского района, комплектования и обеспечения сохранности библиотечных фондов библиотек сельских поселений Колпашевского района"</t>
  </si>
  <si>
    <t>17.06.2013, не установлен</t>
  </si>
  <si>
    <t>14.05.2015, не установлен</t>
  </si>
  <si>
    <t>(100 312)</t>
  </si>
  <si>
    <t>(100 316)</t>
  </si>
  <si>
    <t>(100 321)</t>
  </si>
  <si>
    <t>(499 714)</t>
  </si>
  <si>
    <t>(100 322)</t>
  </si>
  <si>
    <t>Решение Думы Колпашевского района от 27.04.2017 № 28 "О финансировании расходов на организацию мероприятий, направленных на закрепление специалистов в отрасли культуры"</t>
  </si>
  <si>
    <t>27.04.2017, не установлен</t>
  </si>
  <si>
    <t>(100 336)</t>
  </si>
  <si>
    <t>(100 329)</t>
  </si>
  <si>
    <t>(219 705)</t>
  </si>
  <si>
    <t>(499 717)</t>
  </si>
  <si>
    <t>Решение Думы Колпашевского района от 28.09.2017 № 80 "О финансировании расходов, связанных с осуществлением перевозок общественным транспортом обучающихся муниципальных общеобразовательных организаций Колпашевского района"</t>
  </si>
  <si>
    <t>28.09.2017- не установлен</t>
  </si>
  <si>
    <t>Решение Думы Колпашевского района от 17.06.2013 № 58 "О порядке использования средств бюджета муниципального образования "Колпашевский район" на финансирование мероприятий, направленных на создание условий по развитию туризма" (в редакции от 28.06.2016 № 55, от 28.09.2017 № 81)</t>
  </si>
  <si>
    <t>Решение Думы Колпашевского района от 28.09.2017 № 94 "О финансировании проведения полевых археологических работ (археологическая разведка)"</t>
  </si>
  <si>
    <t>28.09.2017, не установлен</t>
  </si>
  <si>
    <t>Постановление Администрации Томской области от 27.02.2008 № 32а "Об утверждении Порядка использования бюджетных ассигнований резервного фонда финансирования непредвиденных расходов Администрации Томской области"</t>
  </si>
  <si>
    <t>27.02.2008, не установлен</t>
  </si>
  <si>
    <t xml:space="preserve">01.09.2013, не указан </t>
  </si>
  <si>
    <t>24.06.2014, не установлен</t>
  </si>
  <si>
    <t>ст.40</t>
  </si>
  <si>
    <t xml:space="preserve"> 01.01.2009, не установлен</t>
  </si>
  <si>
    <t>Постановление Правительства РФ от 17.12.2010 N 1050 "О реализации отдельных мероприятий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</si>
  <si>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01.07.2010, не установлен</t>
  </si>
  <si>
    <t xml:space="preserve">Федеральный Закон от 06.10.2003 № 131-ФЗ "Об общих принципах организации местного самоуправления"
</t>
  </si>
  <si>
    <t xml:space="preserve">Ст. 15, п.1, пп.26
</t>
  </si>
  <si>
    <t>(100 305)</t>
  </si>
  <si>
    <t>(218 687)</t>
  </si>
  <si>
    <t xml:space="preserve">1.Расходные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
</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</si>
  <si>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</si>
  <si>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</si>
  <si>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Наименование полномочия, 
расходного обязательства</t>
  </si>
  <si>
    <t>Правовое основание финансового обеспечения полномочия, расходного обязательства муниципального образования</t>
  </si>
  <si>
    <t>25.03.2015, не установлен</t>
  </si>
  <si>
    <t>ст.15 п.1 пп.19</t>
  </si>
  <si>
    <t>ст.15 п.1 пп.1</t>
  </si>
  <si>
    <t>1021</t>
  </si>
  <si>
    <t>1023</t>
  </si>
  <si>
    <t>(203 603)</t>
  </si>
  <si>
    <t>(218 596)</t>
  </si>
  <si>
    <t>18.09.2018, не установлен</t>
  </si>
  <si>
    <t>Решение Думы Колпашевского района от 10.09.2012 № 118 "О порядке использования средств бюджета муниципального образования "Колпашевский район" на проведение мероприятий по предупреждению и ликвидации пследствий черезвычайных ситуаций природного и техногенного характера на территории муниципального образования "Колпашевский район" (в редакции от 28.10.2013 № 90, от 27.06.2014 № 62, от 03.10.2018 № 98)</t>
  </si>
  <si>
    <t>12.08.2014, не установлен</t>
  </si>
  <si>
    <t>1009</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</si>
  <si>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</si>
  <si>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1.1.1.11.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</si>
  <si>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1.1.1.12.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</si>
  <si>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1.1.1.13. участие в предупреждении и ликвидации последствий чрезвычайных ситуаций на территории муниципального района</t>
  </si>
  <si>
    <t>1022</t>
  </si>
  <si>
    <t>1.1.1.23.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</si>
  <si>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1.1.1.33.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</si>
  <si>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1.1.1.38. осуществление мероприятий по обеспечению безопасности людей на водных объектах, охране их жизни и здоровья</t>
  </si>
  <si>
    <t>1044</t>
  </si>
  <si>
    <t>1.1.1.42. содействие развитию малого и среднего предпринимательства</t>
  </si>
  <si>
    <t>1045</t>
  </si>
  <si>
    <t>1046</t>
  </si>
  <si>
    <t>1.1.1.44. обеспечение условий для развития на территории муниципального района физической культуры, школьного спорта и массового спорта</t>
  </si>
  <si>
    <t>1.1.1.45. организация проведения официальных физкультурно-оздоровительных и спортивных мероприятий муниципального района</t>
  </si>
  <si>
    <t>1.1.2.48.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</si>
  <si>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1.1.2.49.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</si>
  <si>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</si>
  <si>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</si>
  <si>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</si>
  <si>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1.2.4.  обслуживание долговых обязательств в части процентов, пеней и штрафных санкций по бюджетным кредитам, полученным из региональных и местных бюджетов</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</si>
  <si>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</si>
  <si>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</si>
  <si>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1.3.3.3. дополнительные меры социальной поддержки и социальной помощи для отдельных категорий граждан</t>
  </si>
  <si>
    <t>1.3.4.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</si>
  <si>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1600</t>
  </si>
  <si>
    <t>1.4.1. за счет субвенций, предоставленных из федерального бюджета, всего</t>
  </si>
  <si>
    <t>1.4.2. за счет субвенций, предоставленных из бюджета субъекта Российской Федерации, всего</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</si>
  <si>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</si>
  <si>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1828 (562)</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</si>
  <si>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</si>
  <si>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1.6.4. по предоставлению иных межбюджетных трансфертов, всего</t>
  </si>
  <si>
    <t>1.6.4.2.2. организация в границах городского и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</si>
  <si>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2305</t>
  </si>
  <si>
    <t>2307</t>
  </si>
  <si>
    <t>1.6.4.2.11. 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</si>
  <si>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2311</t>
  </si>
  <si>
    <t>1.6.4.2.21. организация проведения официальных физкультурно-оздоровительных и спортивных мероприятий городского и сельского поселения</t>
  </si>
  <si>
    <t>2321</t>
  </si>
  <si>
    <t>1.6.4.2.26. организация благоустройства территории городского 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</si>
  <si>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1.6.4.2.29. утверждение генеральных планов городского и сельского поселения, правил землепользования и застройки, утверждение подготовленной на основе генеральных планов городского и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и сельского поселения, утверждение местных нормативов градостроительного проектирования городского и сельского поселений, резервирование земель и изъятие земельных участков в границах городского и сельского поселения для муниципальных нужд, осуществление муниципального земельного контроля в границах городского и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</si>
  <si>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1.6.4.2.49. создание условий для развития туризма</t>
  </si>
  <si>
    <t>1.6.4.2.50. обеспечение сбалансированности бюджетов городских и сельских поселений</t>
  </si>
  <si>
    <t>2350</t>
  </si>
  <si>
    <t>1.4.1.11. на выплату единовременного пособия при всех формах устройства детей, лишенных родительского попечения, в семью</t>
  </si>
  <si>
    <t>(310 580)</t>
  </si>
  <si>
    <t>(311 606 312 556)</t>
  </si>
  <si>
    <t>(313 553)</t>
  </si>
  <si>
    <t>(305 557)</t>
  </si>
  <si>
    <t>Федеральный закон от 07.02.2011 N 6-ФЗ "Об общих принципах организации и деятельности контрольно-счетных органов субъектов Российской Федерации и муниципальных образований"</t>
  </si>
  <si>
    <t>ст. 20</t>
  </si>
  <si>
    <t>01.10.2011, не установлен</t>
  </si>
  <si>
    <t>Закон РФ от 19.02.1993 г. N 4520-I "О государственных гарантиях и компенсациях для лиц, работающих и проживающих в районах Крайнего Севера и приравненных к ним местностях"</t>
  </si>
  <si>
    <t>01.06.1993, не установлен</t>
  </si>
  <si>
    <t>Закон Томской области от 14.05.2005 N 78-ОЗ "О гарантиях и компенсациях для лиц, проживающих в местностях, приравненных к районам Крайнего Севера"</t>
  </si>
  <si>
    <t>ст. 4, ст.5</t>
  </si>
  <si>
    <t>гл. 8 Положения</t>
  </si>
  <si>
    <t>Федеральный закон от 21.12.1994 N 68-ФЗ "О защите населения и территорий от чрезвычайных ситуаций природного и техногенного характера"</t>
  </si>
  <si>
    <t>Решение Думы Колпашевского района от 10.09.2012 № 118 "О порядке использования средств бюджета муниципального образования "Колпашевский район" на проведение мероприятий по предупреждению и ликвидации чрезвычайных ситуаций природного и техногенного характера на территории муниципального образования "Колпашевский район" (в редакции от 28.10.2013 № 90, от 27.06.2014 № 62, от 03.10.2018 № 98)</t>
  </si>
  <si>
    <t>п. 3</t>
  </si>
  <si>
    <t>ст. 2</t>
  </si>
  <si>
    <t>п. 3.2.</t>
  </si>
  <si>
    <t>ст.10</t>
  </si>
  <si>
    <t>ст.2</t>
  </si>
  <si>
    <t>01.06.2013, не установлен</t>
  </si>
  <si>
    <t>Постановление Администрации Колпашевского района от 02.07.2013 № 625 "Об установлении расходного обязательства муниципального образования "Колпашевский район" по осуществлению отдельных государственных полномочий по Томской области по регулированию числен</t>
  </si>
  <si>
    <t>(306 555)</t>
  </si>
  <si>
    <t>(306 690)</t>
  </si>
  <si>
    <t>ст. 4</t>
  </si>
  <si>
    <t>Постановление Администрации Томской области от 06.09.2013 N 367а "О Порядке предоставления иных межбюджетных трансфертов на организацию системы выявления, сопровождения одаренных детей"</t>
  </si>
  <si>
    <t>06.09.2013, не установлен</t>
  </si>
  <si>
    <t>Решение Думы Колпашевского района от 18.03.2011 № 23 "Об организации проведения районных мероприятий и обеспечении участия в мероприятиях регионального, межрегионального, федерального уровней в сфере образования" (в редакции от 16.12.2011 № 167, от 17.06.2013 № 56, от 28.05.2014 № 51, от 02.11.2015 № 6, от 30.05.2016 № 41, от 24.11.2016 № 112, от 16.02.2017 № 3)</t>
  </si>
  <si>
    <t>Федеральный Закон от 29.12.2012 № 273-ФЗ "Об образовании в РФ"</t>
  </si>
  <si>
    <t>Гл. 12, ст. 89, п. 3</t>
  </si>
  <si>
    <t>ст. 4, п. 5</t>
  </si>
  <si>
    <t>ст.2, ст.4</t>
  </si>
  <si>
    <t>Закон Томской области от 13.06.2007 № 112-ОЗ "О реализации государственной политики в сфере культуры и искусства на территории Томской области"</t>
  </si>
  <si>
    <t>п.п.6 п.5 Порядка</t>
  </si>
  <si>
    <t>Федеральный закон от 29 декабря 1994 г. N 78-ФЗ "О библиотечном деле"</t>
  </si>
  <si>
    <t>ст.24</t>
  </si>
  <si>
    <t>09.10.1997, не установлен</t>
  </si>
  <si>
    <t>ст.15 п.1 пп.19.1</t>
  </si>
  <si>
    <t>прил.1 к особенностям</t>
  </si>
  <si>
    <t>ст. 5</t>
  </si>
  <si>
    <t>Постановление Администрации Колпашевского района от 29.06.2010 № 846 "Об установлении расходных обязательств по осуществлению отдельных государственных полномочий по регулированию тарифов на перевозки пассажиров и багажа всеми видами общественного траснпорта в городском, пригородном и междугородном сообщении (кроме железнодорожного транспорта) по городским, пригородным и междугородным муниципальным маршрутам" (в редакции от 14.01.2016 № 9)</t>
  </si>
  <si>
    <t xml:space="preserve">Закон Томской области от 13.08.2007 N 170-ОЗ "О межбюджетных отношениях в Томской области" </t>
  </si>
  <si>
    <t>2329</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</si>
  <si>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</si>
  <si>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(208 543)</t>
  </si>
  <si>
    <t>(100 310)</t>
  </si>
  <si>
    <t>Решение Думы Колпашевского района от 28.02.2019 № 19 "О мерах по реализации постановления Администрации Томской области от 24 октября 2018 г. N 415а "Об утверждении Методики определения размера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 и определении нормативов расходов на обеспечение государственных гарантий реализации прав"</t>
  </si>
  <si>
    <t>01.01.2019, не установлен</t>
  </si>
  <si>
    <t>1898 (309 572)</t>
  </si>
  <si>
    <t>(221 521)</t>
  </si>
  <si>
    <t>2331</t>
  </si>
  <si>
    <t>1.1.1.34.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</si>
  <si>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31.07.2019, не установлен</t>
  </si>
  <si>
    <t>22.11.2018, не установлен</t>
  </si>
  <si>
    <t>раздел IV Положения</t>
  </si>
  <si>
    <t>18.07.2019, не установлен</t>
  </si>
  <si>
    <t>Постановление Администрации Колпашевского района от 30.06.2010 № 851 "Об установлении расходных обязательств по осуществлению отдельных государственных полномочий, переданных в соответствие с п.5 ст.1 Закона Томской области от 15.12.2004 № 246-ОЗ" (в редакции от 13.03.2014 № 221, от 14.08.2019 № 928)</t>
  </si>
  <si>
    <t>13.07.2010, не установлен</t>
  </si>
  <si>
    <t>(100 309)</t>
  </si>
  <si>
    <t xml:space="preserve">Решение Думы Колпашевского района от 23.04.2012 № 67 "О порядке использования средств бюджета муниципального образования «Колпашевский район» на реализацию мероприятий по созданию условий для обеспечения поселений, входящих в состав Колпашевского района, услугами по организации досуга и услугами организаций культуры" (в редакции от 25.11.2013 № 105, от 22.09.2014 № 92, от 15.12.2014 № 153, от 25.03.2015 № 27, от 07.09.2015 № 82, от 27.11.2015 № 38, от 30.05.2016 № 48, от 20.10.2016 № 97, от 25.11.2019 № 132)
</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</si>
  <si>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</si>
  <si>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2349</t>
  </si>
  <si>
    <t>(311 556)</t>
  </si>
  <si>
    <t>(100 306)</t>
  </si>
  <si>
    <t>1.1.1.84. создание условий для развития сельскохозяйственного производства в поселениях в сфере рыбоводства и рыболовства</t>
  </si>
  <si>
    <t>1086 (206 507)</t>
  </si>
  <si>
    <t>01.01.2020, не указан</t>
  </si>
  <si>
    <t>31.01.2020, не установлен</t>
  </si>
  <si>
    <t>01.01.2020, не установлен</t>
  </si>
  <si>
    <t>Постановление Администрации Томской области от 27.09.2019 N 342а "Об утверждении государственной программы "Развитие образования в Томской области"</t>
  </si>
  <si>
    <t>Постановление Администрации Томской области от 27.09.2019 N 361а "Об утверждении государственной программы "Социальная поддержка населения Томской области"</t>
  </si>
  <si>
    <t>Подпрограмма 4</t>
  </si>
  <si>
    <t>Постановление Администрации Томской области от 27.09.2019 № 347а "Об утверждении государственной программы "Развитие культуры и туризма в Томской области"</t>
  </si>
  <si>
    <t>Прил. № 3</t>
  </si>
  <si>
    <t>Постановление Администрации Томской области от 27.09.2019 № 360а "Об утверждении государственной программы "Развитие предпринимательства и повышение эффективности государственного управления социально-экономическим развитием Томской области"</t>
  </si>
  <si>
    <t>Постановление Администрации Томской области от 27.09.2019 N 345а "Об утверждении государственной программы "Развитие молодежной политики, физической культуры и спорта в Томской области"</t>
  </si>
  <si>
    <t>Решение Думы Колпашевского района от 29.11.2006 № 240 "Об утверждении Положения "Об организации и осуществлении мероприятий межпоселенческого характера по работе с детьми и молодежью на территории муниципального образования "Колпашевский район" (в редакции от 15.12.2014 № 162, от 25.03.2015 № 31, от 18.12.2019 № 142, от 26.02.2020 № 27)</t>
  </si>
  <si>
    <t>Решение Думы Колпашевского района от 15.12.2014 № 151 "Об Управлении по культуре, спорту и молодёжной политике Администрации Колпашевского района и утверждении Положения об Управлении по культуре, спорту и молодёжной политике Администрации Колпашевского района" (в редакции от 28.06.2016 № 54, 25.09.2019 № 99)</t>
  </si>
  <si>
    <t>ст. 1-2</t>
  </si>
  <si>
    <t>19.10.1999, не установлен</t>
  </si>
  <si>
    <t>Постановление Администрации Колпашевского района от 30.06.2010 № 861 "Об установлении расходного бязательства МО "Колпашевский район" по осуществлению государственных полномочий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(в редакции от 18.03.2015 № 307)</t>
  </si>
  <si>
    <t>Прил.2</t>
  </si>
  <si>
    <t>Постановление Администрации Томской области от 26.09.2019 N 340а "Об утверждении государственной программы "Развитие транспортной инфраструктуры в Томской области"</t>
  </si>
  <si>
    <t>Подпр.2
прил.1</t>
  </si>
  <si>
    <t>Подпр.1
прил.2</t>
  </si>
  <si>
    <t>Постановление Администрации Томской области от 27.09.2019 N 345а "Об утверждении государственной программы "Развитие молодежной политики, физической культуры и спорта в Томской области"</t>
  </si>
  <si>
    <t>01.01.2020- 31.12.2024</t>
  </si>
  <si>
    <t>Постановление Администрации томской области от 26.09.2019 № 338а "Об утверждении государственной программы "Развитие сельского хозяйства, рынков сырья и продовольствия в Томской области"</t>
  </si>
  <si>
    <t>01.01.2020-31.12.2024</t>
  </si>
  <si>
    <t>Постановление Администрации Томской области от 25.09.2019 N 337а "Об утверждении государственной программы "Жилье и городская среда Томской области"</t>
  </si>
  <si>
    <t>Подпр. 1 прил.1</t>
  </si>
  <si>
    <t>1.4.1.30. осуществление полномочий по проведению Всероссийской переписи населения 2020 года</t>
  </si>
  <si>
    <t>1731 (303 506)</t>
  </si>
  <si>
    <t>1.4.2.7.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</si>
  <si>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</si>
  <si>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</si>
  <si>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Постановление Администрации Колпашевского района от 30.06.2010г. № 858 "Об установлении расходного обязательства МО "Колпашевский район" по осуществлению отдельных государственных полномочий по ТО по хранению, комплектованию, учету и использованию архивных документов, относящихся к государственной собственности ТО и находящихся на территории МО "Колпашевский район" (в редакции от 07.04.2011 № 322, от 05.11.2013 № 1170, от 06.05.2020 № 449)</t>
  </si>
  <si>
    <t>(409 611)</t>
  </si>
  <si>
    <t>(209 575)</t>
  </si>
  <si>
    <t>(209 576)</t>
  </si>
  <si>
    <t>Решение Думы Колпашевского района от 26.12.2007 № 401 "О порядке расходования средств местного бюджета на финансирование проведения муниципальных выборов" (в редакции от 29.07.2020 № 80)</t>
  </si>
  <si>
    <t>11.08.2020, не установлен</t>
  </si>
  <si>
    <t>Постановление Администрации Колпашевского района от 27.08.2020 № 919 "О порядке и сроках расходования средств субсидии из областного бюджета местным бюджетам в Томской области на реализацию мероприятий по развитию рыбохозяйственного комплекса"</t>
  </si>
  <si>
    <t>27.08.2020- 31.12.2020</t>
  </si>
  <si>
    <t>Решение Думы Колпашевского района от 16.07.2012 № 91 "Об утверждении Порядка предоставления дотаций на выравнивание бюджетной обеспеченности поселений из бюджета муниципального образования «Колпашевский район» (в редакции от 25.11.2019 № 121, от 12.10.2020 № 7)</t>
  </si>
  <si>
    <t>1.6.4.2.53. Средства резервных фондов администраций муниципальных образований для финансирования непредвиденных расходов</t>
  </si>
  <si>
    <t>2353 (499 720)</t>
  </si>
  <si>
    <t>Постановление Администрации Томской области от 30.10.2020 N 703-ра "Об использовании бюджетных ассигнований резервного фонда финансирования непредвиденных расходов Администрации Томской области"</t>
  </si>
  <si>
    <t>03.09.2020- 31.12.2020</t>
  </si>
  <si>
    <t>Постановление Администрации Колпашевского района от 30.06.2010 № 858 "Об установлении расходного обязательства МО "Колпашевский район" по осуществлению отдельных государственных полномочий по ТО по хранению, комплектованию, учету и использованию архивных документов, относящихся к государственной собственности ТО и находящихся на территории МО "Колпашевский район" (в редакции от 07.04.2011 № 322, от 05.11.2013 № 1170, от 06.05.2020№ 449)</t>
  </si>
  <si>
    <t>Решение Думы Колпашевского района от 23.11.2020 № 20 "О предоставлении иного межбюджетного трансферта бюджету муниципального образования "Колпашевское городское поселение" на оплату командировочных расходов победителям конкурса на звание "Лучший муниципальный служащий в Томской области" в 2019 году"</t>
  </si>
  <si>
    <t>Решение Думы Колпашевского района от 29.04.2013 № 37 "О порядке использования средств бюджета муниципального образования "Колпашевский район" на проведение мероприятий по улучшению жилищных условий граждан, проживающих в сельской местности, в том числе молодых семей и молодых специалистов" (в редакции от 31.07.2015 № 71, от 23.11.2020 № 31)</t>
  </si>
  <si>
    <t>Федеральный закон от 13.07.2015 г. N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t>
  </si>
  <si>
    <t>п. 1 ст. 15</t>
  </si>
  <si>
    <t>13.07.2020, не установлен</t>
  </si>
  <si>
    <t>13.07.2015, не установлен</t>
  </si>
  <si>
    <t>(222 561)</t>
  </si>
  <si>
    <t>(222 573)</t>
  </si>
  <si>
    <t>п. 2</t>
  </si>
  <si>
    <t>1712 (311 663)</t>
  </si>
  <si>
    <t>20.01.2021, не установлен</t>
  </si>
  <si>
    <t>Решение Думы Колпашевского района от 31.01.2020 № 16 "О порядке предоставления иных межбюджетных трансфертов из бюджета муниципального образования "Колпашевский район" бюджетам поселений Колпашевского района на исполнение судебных актов по обеспечению жилыми помещениями детей - сирот и детей, оставшихся без попечения родителей, а также лиц из их числа" (в редакции от 25.01.2021 № 15)</t>
  </si>
  <si>
    <t>Постановление Администрации Томской области от 14.08.2020 N 402а "Об утверждении Правил предоставления и Методики распределения иных межбюджетных трансфертов на исполнение судебных актов по обеспечению жилыми помещениями детей-сирот и детей, оставшихся без попечения родителей, а также лиц из их числа"</t>
  </si>
  <si>
    <t>28.08.2020, не установлен</t>
  </si>
  <si>
    <t>25.01.2021, не установлен</t>
  </si>
  <si>
    <t>Постановление Администрации Колпашевского района от 29.01.2021 № 134 "Об установлении расходного обязательства муниципального образования "Колпашевский район" на осуществление переданных отдельных государственных полномочий по подготовке и проведению на территории Томской области Всероссийской переписи населения 2020 года"</t>
  </si>
  <si>
    <t>29.01.2021 в период действия ЗТО от 07.04.2020 № 24-ОЗ</t>
  </si>
  <si>
    <t>Закон Томской области от 07.04.2020 № 24-ОЗ "О наделении органов местного самоуправления отдельными государственными полномочиями по подготовке и проведению на территории Томской области Всероссийской переписи населения 2020 года"</t>
  </si>
  <si>
    <t>20.04.2020- 31.12.2021</t>
  </si>
  <si>
    <t>Решение Думы Колпашевского района от 15.12.2014 № 136 "О финансировании за счёт средств бюджета муниципального образования "Колпашевский район" мероприятий по содержанию комплекса спортивных сооружений муниципального автономного образовательного учреждения дополнительного образования детей "Детско-юношеская спортивная школа имени О. Рахматулиной"</t>
  </si>
  <si>
    <t>Подпр2 Прил. № 1</t>
  </si>
  <si>
    <t>(213 657)</t>
  </si>
  <si>
    <t>(213 658)</t>
  </si>
  <si>
    <t>(100 315)</t>
  </si>
  <si>
    <t>(100 308)</t>
  </si>
  <si>
    <t>1.1.1.69.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</si>
  <si>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1071</t>
  </si>
  <si>
    <t>(210 500)</t>
  </si>
  <si>
    <t>(221 523)</t>
  </si>
  <si>
    <t>1.6.4.2.5. обеспечение проживающих в городского и сельского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</si>
  <si>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2400</t>
  </si>
  <si>
    <t>1.1.1. 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</si>
  <si>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1.1.1.7.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водного транспорта)</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</si>
  <si>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</si>
  <si>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</si>
  <si>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1.1.1.57.обеспечение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</si>
  <si>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1.1.1.83. участие в соответствии с федеральным законом в выполнении комплексных кадастровых работ</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</si>
  <si>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</si>
  <si>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 xml:space="preserve">1.2.21.установление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статьи 325 и 326 Трудового кодекса Российской Федерации </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</si>
  <si>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</si>
  <si>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1.3.1. по перечню, предусмотренному частью 1 статьи 15.1 Федерального закона от 6 октября 2003 г. № 131-ФЗ «Об общих принципах организации местного самоуправления в Российской Федерации», всего</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</si>
  <si>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</si>
  <si>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</si>
  <si>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 xml:space="preserve">1.6.4.2.8. создание условий для предоставления транспортных услуг населению и организация транспортного обслуживания населения в границах городского и сельского поселения (в части автомобильного транспорта) </t>
  </si>
  <si>
    <t>Решение Думы Колпашевского района от 13.08.2014 № 82 "О размере, условиях и порядке предоставления компенсации расходов по оплате стоимости проезда и провоза багажа в пределах РФ к месту использования отпуска и обратно для лиц, работающих в органах местного самоуправления муниципального образования "Колпашевский район", в органах Администрации Колпашевского района и муниципальных учреждениях, финансируемых из бюджета муниципального образования "Колпашевский район", и о размере, условиях и порядке предоставления компенсации расходов по оплате стоимости проезда и провоза багажа в пределах РФ при переезде к новому месту жительства, в другую местность, за пределы Колпашевского района" (в редакции от 22.09.2014 № 89, от 27.10.2014 № 116, от 28.08.2018 № 63, от 30.06.2021 № 73)</t>
  </si>
  <si>
    <t>10.08.2021, не установлен</t>
  </si>
  <si>
    <t>(210 620)</t>
  </si>
  <si>
    <t>(210 621)</t>
  </si>
  <si>
    <t>Постановление Администрации Томской области от 24.06.2014 № 244а «Об установлении Правил предоставления и методики распределения иных межбюджетных трансфертов на достижение целевых показателей по Плану мероприятий ("дорожной карте") "Изменения в сфере образования в Томской области" в части повышения заработной платы педагогических работников муниципальных дошкольных образовательных организаций»</t>
  </si>
  <si>
    <t>Решение Думы Колпашевского района от 13.07.2010 № 875 "Об утверждении Положения о поряке управления и распоряжения имуществом, его приватизации и использования доходов от приватизации и использования имущества, находящегося в собственности МО "Колпашевский район" (в редакции решений Думы Колпашевского района от 23.08.2010 № 914, от 24.12.2010 № 32, от 18.03.2011 № 21, от 23.04.2012 № 48, от 24.05.2012 № 85, от 16.07.2012 № 95, от 19.12.2012 № 151, от 29.04.2013 № 33, от 25.11.2013 № 102, от 17.03.2014 № 18, от 27.10.2014 № 117, от 26.01.2015 № 7, от 24.08.2016 № 84, от 24.11.2016 № 114, от 26.02.20108 № 13, от 29.03.2018 № 21, от 27.03.2019 № 34, от 04.07.2019 № 67, от 27.05.2020 № 61, от 26.04.2021 № 48, от 30.06.2021 № 74,от 30.07.2021 № 86)</t>
  </si>
  <si>
    <t>Постановление Администрации Колпашевского района от 11.08.2020 № 844 "Об утверждении порядка предоставления субсидий юридическим лицам и индивидуальным предпринимателям, осуществляющим промышленное рыболовство, на финансовое обеспечение затрат, связанных с приобретением маломерных судов, лодочных моторов, орудий лова для добычи (вылова) водных биоресурсов, холодильного оборудования, льдогенераторов" (отменен ПАКР от 17.05.2021 № 578)</t>
  </si>
  <si>
    <t>Решение Думы Колпашевского района от 19.12.2012 № 160 "О Почетной грамоте и Благодарственном письме Думы Колпашевского района" (в редакции от 25.11.2013 № 110, от 21.12.2015 № 64, от 26.02.2020 № 32, от 29.04.2020 № 43)</t>
  </si>
  <si>
    <t>Постановление Администрации Колпашевского района от 05.05.2012 № 425 "О порядке определения объёма и условия предоставления бюджетным и автономным учреждениям муниципального образования «Колпашевский район» субсидий на иные цели, источником финансирования которых является резервный фонд Администрации Колпашевского район" (в редакции от 25.08.2015 № 826)</t>
  </si>
  <si>
    <t>Постановление Администрации Колпашевского района от 20.01.2021 № 52 "О финансировании мероприятий по укреплению общественного здоровья населения Колпашевского района"</t>
  </si>
  <si>
    <t>23.11.2020- 25.12.2020</t>
  </si>
  <si>
    <t>Решение Думы Колпашевского района от 27.04.2017 № 27 "О финансировании за счет средств бюджета муниципального образования "Колпашевский район" расходов на поддержку и развитие Центров общественного доступа, расположенных в муниципальных учреждениях культуры муниципального образования "Колпашевский район"</t>
  </si>
  <si>
    <t>Постановление Администрации Колпашевского района от 10.08.2021 № 948 "О порядке и сроках расходования средств субсидии на обеспечение организации отдыха детей в каникулярное время"</t>
  </si>
  <si>
    <t>(499 725)</t>
  </si>
  <si>
    <t>24.12.2021- 01.10.2022</t>
  </si>
  <si>
    <t>01.01.2022- 31.12.2027</t>
  </si>
  <si>
    <t>01.01.2021- 31.12.2026</t>
  </si>
  <si>
    <t>Постановление Администрации Томской области от 27.09.2019 № 342а "Об утверждении государственной программы "Развитие образования в Томской области"</t>
  </si>
  <si>
    <t>Постановление Администрации Томской области от 06.07.2020 N 317а "Об установлении Правил предоставления и методики распределения иных межбюджетных трансфертов из областного бюджета местным бюджетам на выплату ежемесячного денежного вознаграждения за классное руководство педагогическим работникам муниципальных общеобразовательных организаций"</t>
  </si>
  <si>
    <t>21.07.2020, не установлен</t>
  </si>
  <si>
    <t>Постановление Главы Колпашевского района от 24.12.2021 № 155 "О порядке и сроках расходования иного межбюджетного трансферта из резервного фонда финансирования непредвиденных расходов Администрации Томской области муниципальному бюджетному общеобразовательному учреждению "Чажемтовская средняя общеобразовательная школа" Колпашевского района на приобретение спортивного инвентаря" (распоряжение АТО от 26.11.2021 № 369-р-в)</t>
  </si>
  <si>
    <t>Постановление Администрации Томской области от 20.09.2019 № 328а "Об утверждении государственной программы "Эффективное управление государственным имуществом Томской области"</t>
  </si>
  <si>
    <t>Прил к подпрогр</t>
  </si>
  <si>
    <t>30.01.2015, не установлен</t>
  </si>
  <si>
    <t>Постановление Администрации Колпашевского района от 20.11.2015 № 1176 "Об утверждении положения о единой дежурно-диспетчерской службе Колпашевского района" (в редакции от 12.01.2022 № 5)</t>
  </si>
  <si>
    <t>Постановление Администрации Томской области от 17.03.2020 N 107а "Об утверждении Правил предоставления и Методики распределения иных межбюджетных трансфертов из областного бюджета местным бюджетам на финансовое обеспечение расходных обязательств муниципальных образований по оказанию помощи в ремонте и (или) переустройстве жилых помещений граждан,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 из числа: участников и инвалидов Великой Отечественной войны 1941-1945 годов; тружеников тыла военных лет; лиц, награжденных знаком "Жителю блокадного Ленинграда"; бывших несовершеннолетних узников концлагерей; вдов погибших (умерших) участников Великой Отечественной войны 1941-1945 годов, не вступивших в повторный брак"</t>
  </si>
  <si>
    <t>30.03.2020, не установлен</t>
  </si>
  <si>
    <t>Постановление Администрации Томской области от 27.09.2019 № 346а "Об утверждении государственной программы "Развитие инфраструктуры в Томской области"</t>
  </si>
  <si>
    <t>Постановление администрации Томской области от 20.09.2019 № 329а "Об утверждении государственной программы "Эффективное управление региональными финансами, государственными закупками и совершенствование межбюджетных отношений в Томской области"</t>
  </si>
  <si>
    <t>Подпр 1</t>
  </si>
  <si>
    <t>(209 536)</t>
  </si>
  <si>
    <t>09.02.2022, не установлен</t>
  </si>
  <si>
    <t>(209 525)</t>
  </si>
  <si>
    <t>(209 526)</t>
  </si>
  <si>
    <t>Постановление Администрации Колпашевского района от 24.03.2022 № 381 "Об установлении Порядка содержания и ремонта автомобильных дорог местного значения муниципального образования "Колпашевский район"</t>
  </si>
  <si>
    <t>24.03.2022, не установлен</t>
  </si>
  <si>
    <t>Решение Думы Колпашевского района от 10.12.2005 № 35 "Об утверждении Положения о порядке официального опубликования (обнародования) муниципальных правовых актов и иной официальной информации" (в редакции от 27.10.2008 № 558, от 27.03.2009 № 624, от 30.01.2014 № 11, от 22.06.2015 № 62, от 28.09.2017 № 85, от 28.03.2022 № 31)</t>
  </si>
  <si>
    <t>06.04.2022, не установлен</t>
  </si>
  <si>
    <t>(209 686)</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</si>
  <si>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</si>
  <si>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1.4.2.1.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</si>
  <si>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 xml:space="preserve">1.4.2.2.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    </t>
  </si>
  <si>
    <t>1.6.3.по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</si>
  <si>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1.6.3.1. на осуществление воинского учета на территориях, на которых отсутствуют структурные подразделения военных комиссариатов</t>
  </si>
  <si>
    <t>(100 313)</t>
  </si>
  <si>
    <t>28.04.2022, не установлен</t>
  </si>
  <si>
    <t>1085 (505)</t>
  </si>
  <si>
    <t>Постановление Администрации Колпашевского района от 11.05.2022 № 601 "О порядке расходования средств субсидии из областного бюджета бюджету муниципального образования «Колпашевский район» на строительство муниципальных объектов в сфере общего образования в рамках государственной программы «Развитие образования в Томской области» (Строительство здания МБОУ «Саровская СОШ» с размещением 2-х групп дошкольного образования по адресу: Томская область, Колпашевский район, п. Большая Саровка, ул. Советская, 19)" (в редакции от 17.06.2022 № 796)</t>
  </si>
  <si>
    <t>1.4.1.21. на осуществление первичного воинского учета на территориях, где отсутствуют военные комиссариаты</t>
  </si>
  <si>
    <t>(203 538)</t>
  </si>
  <si>
    <t>29.07.2022, не установлен</t>
  </si>
  <si>
    <t>Постановление Главы Колпашевского района от 15.08.2022 № 120 "О порядке и сроках расходования иного межбюджетного трансферта из резервного фонда финансирования непредвиденных расходов Администрации Томской области, выделенного бюджету муниципального образования «Колпашевский район» для муниципального автономного дошкольного образовательного учреждения «Центр развития ребенка – детский сад «Золотой ключик» Колпашевского района на укрепление материально-технической базы"</t>
  </si>
  <si>
    <t>15.08.2022- 31.12.2022</t>
  </si>
  <si>
    <t>Постановление Администрации Колпашевского района от 09.02.2022 № 149 "Об утверждении Положения об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а также дополнительного образования детей, в муниципальных образовательных организациях Колпашевского района"</t>
  </si>
  <si>
    <t>Решение Думы Колпашевского района от 30.03.2007 № 307 "Об утверждении Положения об обеспечении условий для развития на территории муниципальногообразования "Колпашевский район"физической культуры и массового спорта , организация проведения официальных физкультурно-оздоровительных мероприятий Колпашевского района (в редакции от 30.08.2007 № 356, от 28.08.2008 № 525, от 24.05.2010 № 835, от 25.04.2011 № 39, от 23.04.2012 № 68, от 15.12.2014 № 155, от 30.05.2016 № 50, от 24.08.2016 № 67, от 30.05.2017 № 41, от 28.09.2017 № 82, от 18.06.2018 № 41, от 26.02.2020 № 23)</t>
  </si>
  <si>
    <t xml:space="preserve">Решение Думы Колпашевского района от 08.10.2005 № 417 "О Положении об организации профессиональной подготовки кадров органов местного самоуправления Колпашевского района и работников органов Администрации Колпашевского района" (в редакции от 17.06.2013 № 57)
 </t>
  </si>
  <si>
    <t>Решение Думы Колпашевского района от 31.07.2015 № 69 "О размере, условиях и порядке предоставления компенсации расходов, связанных с переездом, лицам, заключившим трудовые договоры о работе в органах местного самоуправления муниципального образования «Колпашевский район», муниципальных учреждениях, финансируемых из бюджета муниципального образования «Колпашевский  район», и прибывшим в соответствии с этими договорами из других регионов Российской Федерации" (в редакции от 28.08.2018 № 66, от 04.07.2019 № 63, от 30.08.2021 № 96, от 30.09.2021 № 113)</t>
  </si>
  <si>
    <t>Постановление Администрации Колпашевского района от 30.06.2010 № 863 "Об установлении расходных обязательств по осуществлению отдельных государственных полномочий" (в редакции от 19.06.2012 № 577, от 13.02.2013 № 119)</t>
  </si>
  <si>
    <t>Постановление Администрации Колпашевского района от 30.06.2010 № 855 "Об установлении расходных обязательств по осуществлению отдельных государственных полномочий по государственной поддержке сельскохозяйственного производства" (в редакции от 11.08.2022 № 1018)</t>
  </si>
  <si>
    <t>Постановление Администрации Колпашевского района от 18.11.2022 № 1376 "О порядке использования средств бюджета муниципального образования "Колпашевский район" на реализацию мероприятий по информационному обеспечению мероприятий по энергосбережению и повышению энергетической эффективности, определенных в качестве обязательных федеральными законами и иными нормативными правовыми актами Российской Федерации, а также предусмотренных соответствующей муниципальной программой в области энергосбережения и повышения энергетической эффективности"</t>
  </si>
  <si>
    <t>18.11.2022, не установлен</t>
  </si>
  <si>
    <t>(209 506)</t>
  </si>
  <si>
    <t>(209 507)</t>
  </si>
  <si>
    <t>06.12.2022, не установлен</t>
  </si>
  <si>
    <t>1.2.20.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</si>
  <si>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</si>
  <si>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ст. 17, п.1, п.п.8.2</t>
  </si>
  <si>
    <t>ст.11 п.2</t>
  </si>
  <si>
    <t>(209 517)</t>
  </si>
  <si>
    <t>1802.3
(310 580)</t>
  </si>
  <si>
    <t>(100 304)</t>
  </si>
  <si>
    <t>09.01.2023, не установлен</t>
  </si>
  <si>
    <t>30.01.2023- 15.12.2023</t>
  </si>
  <si>
    <t>Решение думы Колпашевского района от 30.01.2023 № 9 "О предоставлении иного межбюджетного трансферта на организацию газоснабжения населённых пунктов Колпашевского района"</t>
  </si>
  <si>
    <t>10.01.2022, не установлен</t>
  </si>
  <si>
    <t>31.01.2023, не установлен</t>
  </si>
  <si>
    <t>Прил. 3</t>
  </si>
  <si>
    <t>Прил. 11</t>
  </si>
  <si>
    <t>01.01.2022- 31.12.2026</t>
  </si>
  <si>
    <t>Постановление Администрации Колпашевского района от 15.01.2014 № 14 "Об установлении расходных обязательств по осуществлению отдельных государственных полномочий, переданных в соответствии с Законом Томской области от 09.12.2013 № 214-ОЗ" (в редакции от 26.10.2020 № 1155, от 06.02.2023 № 80)</t>
  </si>
  <si>
    <t>Постановление Администрации Колпашевского района от 04.12.2020 № 1316 "Об установлении расходного обязательства по осуществлению отдельных государственных полномочий по расчёту и предоставлению бюджетам поселений, входящих в состав муниципального района Томской области, субвенций на осуществление первичного воинского учёта органами местного самоуправления поселений и городских округов Томской области" (в редакции от 06.02.2023 № 90)</t>
  </si>
  <si>
    <t>(209 519)</t>
  </si>
  <si>
    <t>(499 802)</t>
  </si>
  <si>
    <t>Постановление Администрации Колпашевского района от 30.06.2010 № 863 "Об установлении расходных обязательств по осуществлению отдельных государственных полномочий" (в редакцтт от 19.06.2012 № 577, от 13.02.2013 № 119, от 21.02.2023 № 145)</t>
  </si>
  <si>
    <t>Постановление Администрации Колпашевского района от 30.06.2010 № 863 "Об установлении расходных обязательств  муниципального образования "Колпашевский район" по осуществлению отдельных государственных полномочий" (в редакции от 19.06.2012 № 577, от 13.02.2013 № 119, от 21.02.2023 № 145)</t>
  </si>
  <si>
    <t>Постановление Администрации Колпашевского района от 30.06.2010 № 863 "Об установлении расходных обязательств по осуществлению отдельных государственных полномочий" (в редакции от 19.06.2012 № 577, от 13.02.2013 № 119, от 21.02.2023 № 145)</t>
  </si>
  <si>
    <t>(209 801)</t>
  </si>
  <si>
    <t>21.03.2023, не установлен</t>
  </si>
  <si>
    <t>(100 347)</t>
  </si>
  <si>
    <t>24.04.2023- 20.12.2023</t>
  </si>
  <si>
    <t>Решение Думы Колпашевского района от 24.04.2023 № 43 "О предоставлении в 2023 году иного межбюджетного трансферта бюджету муниципального образования "Саровское сельское поселение" на приобретение муниципального жилья в п. Большая Саровка"</t>
  </si>
  <si>
    <t>Постановление Администрации Колпашевского района от 05.05.2023 № 403 "О порядке и сроке расходования субсидии из областного бюджета бюджету муниципального образования «Колпашевский район» на проведение комплексных кадастровых работ"</t>
  </si>
  <si>
    <t>05.05.2023- 31.12.2023</t>
  </si>
  <si>
    <t>(100 324)</t>
  </si>
  <si>
    <t>Решение Думы Колпашевского района от 14.06.2023 № 59 "О предоставлении иных межбюджетных трансфертов из бюджета муниципального образования "Колпашевский район" бюджету муниципального образования "Колпашевское городское поселение" на компенсацию сверхнормативных расходов и выпадающих доходов ресурсоснабжающих организаций"</t>
  </si>
  <si>
    <t>14.06.2023- 25.12.2023</t>
  </si>
  <si>
    <t>(409 680)</t>
  </si>
  <si>
    <t>(209 559)</t>
  </si>
  <si>
    <t>(203 539)</t>
  </si>
  <si>
    <t>28.07.2023- 20.12.2023</t>
  </si>
  <si>
    <t>приложение</t>
  </si>
  <si>
    <t>Подпрограмма 2</t>
  </si>
  <si>
    <t>01.02.2022- 31.12.2027</t>
  </si>
  <si>
    <t>1.1.1.13.1.  расходы в рамках программной деятельности</t>
  </si>
  <si>
    <t>1.1.1.39.1.  расходы в рамках программной деятельности</t>
  </si>
  <si>
    <t>1.1.1.38.1. расходы в рамках программной деятельности</t>
  </si>
  <si>
    <t>1.1.1.7.1. расходы в рамках программной деятельности</t>
  </si>
  <si>
    <t>1.1.1.8.1. расходы в рамках программной деятельности</t>
  </si>
  <si>
    <t>1.1.1.5.1. расходы в рамках программной деятельности</t>
  </si>
  <si>
    <t>Подпрограмма 1</t>
  </si>
  <si>
    <t>1.1.1.42.1.  расходы в рамках программной деятельности</t>
  </si>
  <si>
    <t>01.01.2023- 31.12.2028</t>
  </si>
  <si>
    <t>1.2.19.1. расходы в рамках программной деятельности</t>
  </si>
  <si>
    <t>1.2.19.2. непрограммное направление расходов</t>
  </si>
  <si>
    <t>01.02.2021- 31.12.2026</t>
  </si>
  <si>
    <t>подпрограмма 3</t>
  </si>
  <si>
    <t>01.01.2022-31.12.2027</t>
  </si>
  <si>
    <t>1.6.4.2.2.1. расходы в рамках программной деятельности</t>
  </si>
  <si>
    <t>1.6.4.2.5.1. расходы в рамках программной деятельности</t>
  </si>
  <si>
    <t>1.6.4.2.5.2. непрограммное направление расходов</t>
  </si>
  <si>
    <t>1.6.4.2.21.1. расходы в рамках программной деятельности</t>
  </si>
  <si>
    <t>1.6.4.2.21.2. непрограммное направление расходов</t>
  </si>
  <si>
    <t>1.6.4.2.26.1. расходы в рамках программной деятельности</t>
  </si>
  <si>
    <t>1.6.4.2.26.2. непрограммное направление расходов</t>
  </si>
  <si>
    <t>1.1.1.3. владение, пользование и распоряжение имуществом, находящимся в муниципальной собственности муниципального района
(непрограммное направление расходов)</t>
  </si>
  <si>
    <t>1.1.1.4.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
(расходы в рамках программной деятельности)</t>
  </si>
  <si>
    <t>1.1.1.17.1.  расходы в рамках программной деятельности</t>
  </si>
  <si>
    <t xml:space="preserve">(Расходы за счет резервных фондов Администрации Томской области) </t>
  </si>
  <si>
    <t>1.1.1.18.1.  расходы в рамках программной деятельности</t>
  </si>
  <si>
    <t>1.1.1.20.1.  расходы в рамках программной деятельности</t>
  </si>
  <si>
    <t>1.1.1.20.2.  непрограммное направление расходов</t>
  </si>
  <si>
    <t>1.1.1.19.1.  расходы в рамках программной деятельности</t>
  </si>
  <si>
    <t>1.1.1.19.2.  непрограммное направление расходов</t>
  </si>
  <si>
    <t>1.1.1.24.1.  расходы в рамках программной деятельности</t>
  </si>
  <si>
    <t>1.1.1.32.1.  расходы в рамках программной деятельности</t>
  </si>
  <si>
    <t>1.1.1.27.1.  расходы в рамках программной деятельности</t>
  </si>
  <si>
    <t>1.1.1.27.2.  непрограммное направление расходов</t>
  </si>
  <si>
    <t>(210 684)</t>
  </si>
  <si>
    <t>(210 566)</t>
  </si>
  <si>
    <t>1.1.1.32.2.  непрограммное направление расходов</t>
  </si>
  <si>
    <t>1.1.1.43.1.  расходы в рамках программной деятельности</t>
  </si>
  <si>
    <t>1.1.1.44.1.  расходы в рамках программной деятельности</t>
  </si>
  <si>
    <t>1.1.1.46.1.  расходы в рамках программной деятельности</t>
  </si>
  <si>
    <t>1.1.1.57.1.  расходы в рамках программной деятельности</t>
  </si>
  <si>
    <t>1.1.1.57.2.  непрограммное направление расходов</t>
  </si>
  <si>
    <t>1.1.1.66. организация библиотечного обслуживания населения, комплектование и обеспечение сохранности библиотечных фондов библиотек сельского поселения</t>
  </si>
  <si>
    <t>1.1.1.66.1.  расходы в рамках программной деятельности</t>
  </si>
  <si>
    <t>1.2.1.1. расходы в рамках программной деятельности</t>
  </si>
  <si>
    <t>1.2.1.2. непрограммное направление расходов</t>
  </si>
  <si>
    <t>1.1.1.69.1.  расходы в рамках программной деятельности</t>
  </si>
  <si>
    <t>1.1.2.46. осуществление мер по противодействию коррупции в границах  поселения
(непрограммное направление расходов)</t>
  </si>
  <si>
    <t>1.2.2.1. непрограммное направление расходов</t>
  </si>
  <si>
    <t>1.2.6. принятие устава муниципального образования и внесение в него изменений и дополнений, издание муниципальных правовых актов
(непрограммное направление расходов)</t>
  </si>
  <si>
    <t>1.2.8.1.  расходы в рамках программной деятельности</t>
  </si>
  <si>
    <t>1.2.8.2. непрограммное направление расходов</t>
  </si>
  <si>
    <t>1.3.1.6.1. расходы в рамках программной деятельности</t>
  </si>
  <si>
    <t>1.3.3.3.1. расходы в рамках программной деятельности</t>
  </si>
  <si>
    <t>1.6.1.1. расходы в рамках программной деятельности</t>
  </si>
  <si>
    <t>1.1.1.45.1.  расходы в рамках программной деятельности</t>
  </si>
  <si>
    <t>07.09.2023, не установлен</t>
  </si>
  <si>
    <t>Решение Думы Колпашевского района от 23.04.2012 № 43 "О Cчетной палате Колпашевского района" (в редакции от 05.09.2013 № 83, от 16.12.2013 № 119, от 16.12.2013 № 120, от 28.04.2014 № 37, от 02.11.2015 № 10, от 28.06.2017 № 57, от 28.08.2018 № 83, от 28.11.2018 № 114, от 28.02.2019 № 25, от 28.02.2019 № 26, от 23.10.2019 № 110, от 30.09.2021 № 116, от 29.05.2023 № 48)</t>
  </si>
  <si>
    <t>Решение Думы Колпашевского района от 28.04.2014 № 42 "О финансировании расходов на создание условий для оказания медицинской помощи населению на территории Колпашевского района" (в редакции от 22.09.2014 № 90, от 15.12.2014 № 159, от 02.11.2015 № 8, от 29.01.2016 № 3, от 29.02.2016 № 10, от 27.04.2017 № 29, от 18.12.2018 № 121, от 25.11.2019 № 133, от 28.08.2023 № 78)</t>
  </si>
  <si>
    <t>1.1.1.5.1.2. Организация дорожной деятельности на автомобильных дорогах вне границ населенных пунктов в границах Колпашевского района</t>
  </si>
  <si>
    <t>1.1.1.5.1.1. Содействие в осуществлении дорожной деятельности в отношении автомобильных дорог местного значения</t>
  </si>
  <si>
    <t>1.1.1.13.1.1. Обеспечение безопасности граждан на территории муниципального образования "Колпашевский район"</t>
  </si>
  <si>
    <t>1.1.1.13.1.1.1. Организация видеонаблюдения в образовательных организациях, в муниципальных учреждениях культуры, в местах массового скопления людей, в местах выезда и въезда на территорию населенных пунктов</t>
  </si>
  <si>
    <t>1.1.1.13.1.1.2. Организация и проведение мероприятий профилактической направленности. Изготовление печатной продукции, освещение проблем правонарушений среди несовершеннолетних в средствах массовой информации</t>
  </si>
  <si>
    <t>1.1.1.13.1.1.3. Организация и проведение волонтерских сборов, акций, других мероприятий профилактической направленности</t>
  </si>
  <si>
    <t>1.1.1.13.1.1.4. Проведение мероприятий по очговой заключительной дезинфекции в домашних очагах заразных инфекционных заболеваний с целью предупреждения дальнейшего распространения</t>
  </si>
  <si>
    <t>1.1.1.13.1.1.5. Информационное обеспечение граждан о действиях при угрозе возникновения террористических актов. Организация и проведение мероприятий профилактической направленности</t>
  </si>
  <si>
    <t>1.1.1.13.1.2.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</si>
  <si>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1.1.1.13.1.2.1. Обеспечение населенных пунктов, расположенных в лесной зоне или зоне ежегодного подтопления, системами связи и оповещения населения о пожарах и других чрезвычайных ситуациях</t>
  </si>
  <si>
    <t>1.1.1.13.1.2.2. Обеспечение пожарной безопасности зданий муниципальных учреждений культуры и образовательных организаций Колпашевского района</t>
  </si>
  <si>
    <t>1.1.1.13.1.2.3. Оборудование мест массового отдыха (на водных объектах) соответствующей инфраструктурой, в том числе для обучения детей плаванию, спасательными постами с необходимым снаряжением, оборудованием и инвентарём, обеспечение наглядной агитацией</t>
  </si>
  <si>
    <t>1.1.1.13.1.2.4. Пополнение резервного запаса материально-технических средств для обеспечения проведения мероприятий по предупреждению и ликвидации чрезвычайных ситуаций</t>
  </si>
  <si>
    <t>1.1.1.13.1.1.7. Проведение акций, мероприятий, направленных на профилактику дорожно - транспортного травматизма</t>
  </si>
  <si>
    <t>1.1.1.17.1.1. Обеспечение безопасности граждан на территории муниципального образования "Колпашевский район"</t>
  </si>
  <si>
    <t>1.1.1.17.1.1.1. Организация видеонаблюдения в образовательных организациях, в муниципальных учреждениях культуры, в местах массового скопления людей, в местах выезда и въезда на территорию населенных пунктов</t>
  </si>
  <si>
    <t>1.1.1.17.1.2.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</si>
  <si>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1.1.1.17.1.2.1. Обеспечение населенных пунктов, расположенных в лесной зоне или зоне ежегодного подтопления, системами связи и оповещения населения о пожарах и других чрезвычайных ситуациях</t>
  </si>
  <si>
    <t>1.1.1.17.1.3. Развитие муниципальной системы образования Колпашевского района</t>
  </si>
  <si>
    <t>1.1.1.13.1.1.6. Обеспечение антитеррорестической защищенности объектов образования, культуры, опасных объектов и объектов жизнеобеспечения, находящихся в муниципальной собственности</t>
  </si>
  <si>
    <t>1.1.1.17.1.1.2. Обеспечение антитеррорестической защищенности объектов образования, культуры, опасных объектов и объектов жизнеобеспечения, находящихся в муниципальной собственности</t>
  </si>
  <si>
    <t>1.1.1.17.1.2.2. Обеспечение пожарной безопасности зданий муниципальных учреждений культуры и образовательных организаций Колпашевского района</t>
  </si>
  <si>
    <t>1.1.1.18.1.1. Обеспечение безопасности граждан на территории муниципального образования "Колпашевский район"</t>
  </si>
  <si>
    <t>1.1.1.18.1.1.1. Проведение акций, мероприятий, направленных на профилактику дорожно - транспортного травматизма</t>
  </si>
  <si>
    <t>1.1.1.18.1.2. Развитие муниципальной системы образования Колпашевского района</t>
  </si>
  <si>
    <t>1.1.1.18.1.2.3. Создание условий, обеспечивающих приток педагогических кадров в муниципальную систему образования Колпашевского района</t>
  </si>
  <si>
    <t>1.1.1.18.1.2.4.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t>
  </si>
  <si>
    <t>1.1.1.18.2.  непрограммное направление расходов</t>
  </si>
  <si>
    <t>1.1.1.20.1.1. Обеспечение безопасности граждан на территории муниципального образования "Колпашевский район"</t>
  </si>
  <si>
    <t>1.1.1.20.1.1.1. Изготовление печатной продукции, освещение проблем наркомании и правонарушений среди несовершеннолетних в средствах массовой информации</t>
  </si>
  <si>
    <t>1.1.1.21.1.  расходы в рамках программной деятельности</t>
  </si>
  <si>
    <t>1.1.1.21.1.1.  Развитие муниципальной системы образования Колпашевского района</t>
  </si>
  <si>
    <t>1.1.1.21.1.1.1. Организация отдыха детей и молодёжи</t>
  </si>
  <si>
    <t>1.1.1.22.1.  расходы в рамках программной деятельности</t>
  </si>
  <si>
    <t>1.1.1.22.1.1. Развитие муниципальной системы образования Колпашевского района</t>
  </si>
  <si>
    <t>1.1.1.22.1.1.1. Создание условий для проведения психолого - медико - педагогического обследавания детей и подростков с целью своевременного выявления особенностей в физическом и (или) психическом развитии и (или) отклонений в поведении</t>
  </si>
  <si>
    <t>1.1.1.22.1.1.2. Организация проведения мероприятий и обеспечение участия участников образовательных отношений в мероприятиях различного уровня</t>
  </si>
  <si>
    <t>1.1.1.24.1.1. Повышение уровня благоустройства и качества окружающей среды в населённых пунктах муниципального образования "Колпашевский район"</t>
  </si>
  <si>
    <t>1.1.1.24.1.1.1. Реализация (содействие в реализации) мероприятий, направленных на повышение качества окружающей среды при обращении с отходами</t>
  </si>
  <si>
    <t>1.1.1.27.1.1. Развитие культуры в Колпашевском районе</t>
  </si>
  <si>
    <t>1.1.1.27.1.1.1. Проведение мероприятий, направленных на организацию досуга, развитие местного традиционного народного художественного творчества, библиотечного обслуживания и обеспечение услуг организаций культуры</t>
  </si>
  <si>
    <t>1.1.1.38.1.1.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</si>
  <si>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1.1.1.38.1.1.1. Эксплуатация гидротехнических сооружений, находящихся в собственности муниципального образования "Колпашевский район"</t>
  </si>
  <si>
    <t>1.1.1.39.1.1. Развитие сельскохозяйственного производства в Колпашевском районе</t>
  </si>
  <si>
    <t>1.1.1.42.1.1. Развитие предпринимательства в Колпашевском районе</t>
  </si>
  <si>
    <t>1.1.1.44.1.1. Развитие муниципальной системы образования Колпашевского района</t>
  </si>
  <si>
    <t>1.1.1.44.1.1.1. Содействие развитию физкультурно- спортивных мероприятий среди школьников муниципального образования "Колпашевский рацйон"</t>
  </si>
  <si>
    <t>1.1.1.45.1.1.1. Развитие спортивной инфраструктуры (строительство новых, реконструкция и ремонт имеющихся спортивных сооружений)</t>
  </si>
  <si>
    <t>1.1.1.45.1.1.2. Организация физкультурно - оздоровительной работы с населением</t>
  </si>
  <si>
    <t>1.1.1.45.1.1.3. Региональный проект "Спорт - норма жизни"</t>
  </si>
  <si>
    <t>1.1.1.45.1.1.4. Обеспечение участия спортивных сборных команд муниципального образования «Колпашевский район» в официальных региональных спортивных, физкультурных мероприятиях, проводимых на территории Томской области»</t>
  </si>
  <si>
    <t>1.1.1.45.1.2. Развитие муниципальной системы образования Колпашевского района</t>
  </si>
  <si>
    <t>1.1.1.45.1.2.1. Создание условий и предоставление услуг по дополнительному образованию в организациях дополнительного образования</t>
  </si>
  <si>
    <t>1.1.1.46.1.1.1. Организация и проведение межпоселенческих мероприятий по работе с детьми и молодежью</t>
  </si>
  <si>
    <t>1.1.1.53. организация в соответствии с федеральным законом выполнения комплексных кадастровых работ и утверждение карты-плана территории</t>
  </si>
  <si>
    <t>1.1.1.53.1. непрограммное направление расходов</t>
  </si>
  <si>
    <t>1.1.1.53.1.1. Организация комплексных кадастровых работ на территории Колпашевского района</t>
  </si>
  <si>
    <t>1.1.1.57.1.1. Комплексное развитие сельских территорий Колпашевского района Томской области</t>
  </si>
  <si>
    <t>1.1.1.57.1.1.1. Улучшение жилищных условий граждан, проживающих на сельских территориях</t>
  </si>
  <si>
    <t>1.1.1.57.1.2.1. Предоставление социальной выплаты на приобретение (строительство) жилья</t>
  </si>
  <si>
    <t>1.1.1.66.1.1. Развитие культуры в Колпашевском районе</t>
  </si>
  <si>
    <t>1.1.1.66.1.1.1. Проведение мероприятий, направленных на организацию досуга, развитие местного традиционного народного художественного творчества, библиотечного обслуживания и обеспечение услуг организаций культуры</t>
  </si>
  <si>
    <t>1.2.8.1.1.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</si>
  <si>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1.2.8.1.1.1. Обеспечение деятельности ЕДДС Администрации Колпашевского района</t>
  </si>
  <si>
    <t>1.2.8.1.1.2. Оснащение, организация работы ЕДДС Администрации Колпашевского района</t>
  </si>
  <si>
    <t>1.2.19.1.1.1. Повышение эффективности кадровой политики в муниципальном образовании "Колпашевский район"</t>
  </si>
  <si>
    <t>1.2.19.1.2. Развитие культуры в Колпашевском районе</t>
  </si>
  <si>
    <t>1.2.19.1.2.1. Проведение мероприятий, направленных на организацию досуга, развитие местного традиционного народного художественного творчества, библиотечного обслуживания и обеспечение услуг организаций культуры</t>
  </si>
  <si>
    <t>1.2.20.1.  расходы в рамках программной деятельности</t>
  </si>
  <si>
    <t>1.2.20.1.1. Повышение энергетической эффективности на территории Колпашевского района</t>
  </si>
  <si>
    <t>1.2.20.1.1.1. Координация мероприятий по повышению энергоэффективности использования энергетических ресурсов в многоквартирных домах, в муниципальных учреждениях</t>
  </si>
  <si>
    <t>1.2.21.1. расходы в рамках программной деятельности</t>
  </si>
  <si>
    <t>1.2.21.2. непрограммное направление расходов</t>
  </si>
  <si>
    <t>1.2.24.1. расходы в рамках программной деятельности</t>
  </si>
  <si>
    <t>1.2.24.1.1. Развитие муниципальной системы образования Колпашевского района</t>
  </si>
  <si>
    <t>1.2.24.1.1.1. Обеспечение условий для предоставления муниципальными образовательными организациями доступного, качественного общего и дополнительного образования</t>
  </si>
  <si>
    <t>1.3.1.6.1.1. Развитие внутреннего и въездного туризма на территории Колпашевского района</t>
  </si>
  <si>
    <t>1.3.1.6.1.1.1. Организация и проведение мероприятий, направленных на создание условий для развития туризма</t>
  </si>
  <si>
    <t>1.3.3.3.1.1. Поддержка отдельных категорий граждан  и некоммерческих организаций на территории Колпашевского района</t>
  </si>
  <si>
    <t>1.3.3.3.1.1.1. Создание условий для оказания поддержки отдельным категориям граждан и социально-ориентированным некоммерчкским организациям</t>
  </si>
  <si>
    <t>1.3.3.3.1.2. Обеспечение медицинских организаций системы здравоохранения Колпашевского района квалифицированными медицинскими кадрами</t>
  </si>
  <si>
    <t>1.3.3.3.1.4.1. Создание информационно - профилактической базы для формирования мотивации граждан к здоровому образу жизни</t>
  </si>
  <si>
    <t>1.3.4.4. осуществление оплаты членских, целевых взносов для участия в различных Ассоциациях, межмуниципальных объединениях и организациях, некоммерческих организациях (непрограммное направление расходов)</t>
  </si>
  <si>
    <t>1.6.4.2.2.1.1. Развитие коммунальной инфраструктуры Колпашевского района</t>
  </si>
  <si>
    <t>1.6.4.2.2.1.1.1. Содействие в организации электро-, тепло-, газо-, водоснабжения населения и водоотведения в границах поселений</t>
  </si>
  <si>
    <t>1.6.4.2.4. дорожная деятельность в отношении автомобильных дорог местного значения в границах населенных пунктов городского и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и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</si>
  <si>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1.6.4.2.4.1. расходы в рамках программной деятельности</t>
  </si>
  <si>
    <t>1.6.4.2.4.1.1.1. Содействие в осуществлении дорожной деятельности в отношении автомобильных дорог местного значения</t>
  </si>
  <si>
    <t>1.6.4.2.5.1.1. Развитие коммунальной инфраструктуры Колпашевского района</t>
  </si>
  <si>
    <t>1.6.4.2.5.1.1.1. Содействие в обеспечении сохранности муниципального жилого фонда в границах поселений Колпашевского района</t>
  </si>
  <si>
    <t>1.6.4.2.7.1. расходы в рамках программной деятельности</t>
  </si>
  <si>
    <t>1.6.4.2.7.1.1.1.Содействие в создании условий для предоставления транспортных услуг населению и организации транспортного обслуживания населения</t>
  </si>
  <si>
    <t>1.6.4.2.8.1. расходы в рамках программной деятельности</t>
  </si>
  <si>
    <t>1.6.4.2.8.1.1.1.Содействие в создании условий для предоставления транспортных услуг населению и организации транспортного обслуживания населения</t>
  </si>
  <si>
    <t>1.6.4.2.13.1. непрограммное направление расходов</t>
  </si>
  <si>
    <t>1.6.4.2.13.2. Резервные фонды исполнительного органа государственной власти субъекта Российской Федерации</t>
  </si>
  <si>
    <t>1.6.4.2.14. обеспечение первичных мер пожарной безопасности в границах населенных пунктов городского и сельского поселения</t>
  </si>
  <si>
    <t>1.6.4.2.14.1. расходы в рамках программной деятельности</t>
  </si>
  <si>
    <t>1.6.4.2.14.1.1.1. Обустройство и ремонт источников противопожарного водоснабжения в населенных пунктах Колпашевского района</t>
  </si>
  <si>
    <t>1.6.4.2.14.1.1.2. Создание условий для деятельности добровольных пожарных команд на территориях населенных пунктов, не прикрытых подразделениями пожарной охраны</t>
  </si>
  <si>
    <t>1.6.4.2.20. обеспечение условий для развития на территории городского и сельского поселения физической культуры, школьного спорта и массового спорта</t>
  </si>
  <si>
    <t>1.6.4.2.20.1. расходы в рамках программной деятельности</t>
  </si>
  <si>
    <t>1.6.4.2.20.1.1. Развитие физической культуры и массового спорта в Колпашевском районе</t>
  </si>
  <si>
    <t>1.6.4.2.20.1.1.1. Региональный проект "Спорт - норма жизни"</t>
  </si>
  <si>
    <t>1.6.4.2.21.1.1. Развитие физической культуры и массового спорта в Колпашевском районе</t>
  </si>
  <si>
    <t>1.6.4.2.21.1.1.1. Развитие спортивной инфраструктуры (строительство новых, реконструкция и ремонт имеющихся спортивных сооружений)</t>
  </si>
  <si>
    <t>1.6.4.2.21.1.1.2. Организация физкультурно - оздоровительной работы с населением</t>
  </si>
  <si>
    <t>1.6.4.2.21.2.1. Резервные фонды исполнительного органа государственной власти субъекта Российской Федерации</t>
  </si>
  <si>
    <t>1.6.4.2.26.1.1. Комплексное развитие сельских территорий Колпашевского района Томской области</t>
  </si>
  <si>
    <t>1.6.4.2.26.1.1.1 Реализация проектов по благоустройству сельских территорий</t>
  </si>
  <si>
    <t>1.6.4.2.29.1. расходы в рамках программной деятельности</t>
  </si>
  <si>
    <t>1.6.4.2.29.1.1.1. Совершенствование территориального планирования, реализация документов территориального планирования и градостроительного зонирования муниципальных образований Колпашевского района</t>
  </si>
  <si>
    <t>1.6.4.2.31. организация ритуальных услуг и содержание мест захоронения</t>
  </si>
  <si>
    <t>1.6.4.2.31.1.  непрограммное направление расходов</t>
  </si>
  <si>
    <t>1.6.4.2.31.1.1. Охрана окружающей среды при обращении с отходами производства и потребления, повышение уровня благоустройства территорий Колпашевского района</t>
  </si>
  <si>
    <t>1.6.4.2.31.1.1.1. Финансовая поддержка инициативных проектов</t>
  </si>
  <si>
    <t>1.6.4.2.50.1. расходы в рамках программной деятельности</t>
  </si>
  <si>
    <t>1.6.4.2.50.1.1. Муниципальные финансы</t>
  </si>
  <si>
    <t>1.6.4.2.50.1.1.1. Выравнивание финансовых возможностей бюджетов поселений Колпашевского района за счёт бюджета муниципального образования «Колпашевский район»</t>
  </si>
  <si>
    <t>1.1.1.7.1.1. Организация транспортного обслуживания населения Колпашевского района</t>
  </si>
  <si>
    <t>(499 720)</t>
  </si>
  <si>
    <t>1.2.8.1.2. Развитие муниципальной службы и кадрового потенциала</t>
  </si>
  <si>
    <t>Приложения</t>
  </si>
  <si>
    <t>1.2.8.1.2.1. Повышение эффективности кадровой политики в муниципальном образовании "Колпашевский район"</t>
  </si>
  <si>
    <t>1.6.4.2.1.1.  расходы в рамках программной деятельности</t>
  </si>
  <si>
    <t>1.6.4.2.1.2. непрограммное направление расходов</t>
  </si>
  <si>
    <t>1.6.4.2.1.2.1. Обеспечение эффективного управления и распоряжения муниципальным имуществом</t>
  </si>
  <si>
    <t>1.6.4.1.1.1 Развитие муниципальной службы и кадрового потенциала</t>
  </si>
  <si>
    <t>подпрограмма 1</t>
  </si>
  <si>
    <t>Решение Думы Колпашевского района от 24.11.2023 № 119 "О предоставлении бюджетам поселений Колпашевского района иных межбюджетных трансфертов на поощрение муниципальных управленческих команд"</t>
  </si>
  <si>
    <t>24.11.2023- 20.12.2023</t>
  </si>
  <si>
    <t>Постановление Администрации Колпашевского района от 06.12.2023 № 1113 "Об определении размера иных межбюджетных трансфертах на поощрение муниципальных управленческих команд, предоставляемых бюджетам поселений Колпашевского района в 2023 году"</t>
  </si>
  <si>
    <t>06.12.2023- 31.12.2023</t>
  </si>
  <si>
    <t>(403 508)</t>
  </si>
  <si>
    <t>(100 337)</t>
  </si>
  <si>
    <t>Решение Думы Колпашевского района от 19.09.2023 № 103 "О предоставлении в 2023 году иного межбюджетного трансферта бюджету муниципального образования "Чажемтовское сельское поселение" на приобретение газового котла"</t>
  </si>
  <si>
    <t>19.09.2023- 20.12.2023</t>
  </si>
  <si>
    <t>(100 335)</t>
  </si>
  <si>
    <t>1.6.4.2.14.1.1.3. Проведение мероприятий по защите населённых пунктов от природных пожаров</t>
  </si>
  <si>
    <t>(100 333)</t>
  </si>
  <si>
    <t>2308</t>
  </si>
  <si>
    <t>(100 303)</t>
  </si>
  <si>
    <t>(100 302)</t>
  </si>
  <si>
    <t>(100 301)</t>
  </si>
  <si>
    <t>1.6.4.2.49.1. расходы в рамках программной деятельности</t>
  </si>
  <si>
    <t>1.6.4.2.49.1.1. Организация и проведение мероприятий, направленных на создание условий для развития туризма</t>
  </si>
  <si>
    <t>(100 319)</t>
  </si>
  <si>
    <t>01.01.2024- 31.12.2029</t>
  </si>
  <si>
    <t>Решение Думы Колпашевского района от 28.07.2023 № 73 "О предоставлении в 2023 году иного межбюджетного трансферта бюджету муниципального образования "Колпашевское городское поселение" на приобретение экскаватора" (в редакции от 15.12.2023 № 144)</t>
  </si>
  <si>
    <t>29.01.2024- 31.12.2024</t>
  </si>
  <si>
    <t>1.1.1.27. формирование и содержание муниципального архива, включая хранение архивных фондов поселений</t>
  </si>
  <si>
    <t>1.1.1.7.1.2. Содействие в создании условий для предоставления транспортных услуг населению и организации транспортного обслуживания населения</t>
  </si>
  <si>
    <t>(409 570)</t>
  </si>
  <si>
    <t>(409 612)</t>
  </si>
  <si>
    <t>(209 622)</t>
  </si>
  <si>
    <t>(209 623)</t>
  </si>
  <si>
    <t xml:space="preserve">1.1.1.19.2.1. Расходы за счет резервных фондов Администрации Томской области </t>
  </si>
  <si>
    <t>(209 683)</t>
  </si>
  <si>
    <t>(209 574)</t>
  </si>
  <si>
    <t>1.1.1.20.2.1. Расходы за счет резервных фондов Администрации Томской области</t>
  </si>
  <si>
    <t>1.1.1.32.2.1. Расходы за счет резервных фондов Администрации Томской области</t>
  </si>
  <si>
    <t>1.1.1.39.1.1.1. Содействие в развитии деятельности малых форм хозяйствования</t>
  </si>
  <si>
    <t>1.1.1.39.1.1.2. Расширение рынка сбыта сельскохозяйственной продукции, произведенной в личных подсобных хозяйствах и крестьянских (фермерских) хозяйствах</t>
  </si>
  <si>
    <t>(211 578)</t>
  </si>
  <si>
    <t>(227 601)</t>
  </si>
  <si>
    <t>(227 604)</t>
  </si>
  <si>
    <t>(227 600)</t>
  </si>
  <si>
    <t>1.1.2.18.1.  расходы в рамках программной деятельности</t>
  </si>
  <si>
    <t>1.1.2.18.1.1. Проведение мероприятий, направленных на организацию досуга, развитие местного традиционного народного художественного творчества, библиотечного обслуживания и обеспечение услуг организаций культуры</t>
  </si>
  <si>
    <t>1.1.2.18.1.1.1. Финансовое обеспечение части переданных полномочий по решению вопроса местного значения «Организация библиотечного обслуживания населения, комплектование и обеспечение сохранности библиотечных фондов библиотек поселений»</t>
  </si>
  <si>
    <t>1.1.2.18.1.1.1. Финансовое обеспечение части переданных полномочий по решению вопроса местного значения «Создание условий для организации досуга и обеспечения жителей сельских поселений услугами организаций культуры»</t>
  </si>
  <si>
    <t>(411 659)</t>
  </si>
  <si>
    <t>1.1.1.39.1.2. Эффективное вовлечения в оборот земель сельскохозяйственного назначения и развитие мелиоративного комплекса Томской области</t>
  </si>
  <si>
    <t>1.1.1.39.1.2.1. Создание условий для вовлечения в оборот земель сельскохозяйственного назначения</t>
  </si>
  <si>
    <t>(206 502)</t>
  </si>
  <si>
    <t>(206 503)</t>
  </si>
  <si>
    <t>Подпрограмма 2, Прил. 2</t>
  </si>
  <si>
    <t>01.01.2020- 31.12.2028</t>
  </si>
  <si>
    <t>(100 307)</t>
  </si>
  <si>
    <t>1.6.4.2.2.1.1.2.  Региональный проект "Чистая вода"</t>
  </si>
  <si>
    <t>(219 504)</t>
  </si>
  <si>
    <t>Прил. 2.1.</t>
  </si>
  <si>
    <t>(227 508)</t>
  </si>
  <si>
    <t>(227 509)</t>
  </si>
  <si>
    <t>Решние Думы Колпашевского района от 29.01.2024 № 17 "О предоставлении иного межбюджетного трансферта бюджету муниципального образования "Колпашевское городское поселение" на выполнение работ по созданию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</si>
  <si>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Решение Думы Колпашевского района от 28.06.2016 № 59 "Об утверждении Положения о порядке финансирования расходов на 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муниципальных общеобразовательных организациях муниципального образования "Колпашевский район" за счёт средств бюджета муниципального образования "Колпашевский район" (в редакции от 19.12.2016 № 125, от 28.02.2019 № 18, от 29.01.2024 № 22)</t>
  </si>
  <si>
    <t>Постановление Администрации Колпашевского района от 30.01.2024 № 89 "О порядке и сроке расходования субсидии из областного бюджета бюджету муниципального образования «Колпашевский район» на мероприятия по обеспечению комплексного развития сельских территорий (реализация проектов по благоустройству сельских территорий)"</t>
  </si>
  <si>
    <t>30.01.2024- 31.12.2024</t>
  </si>
  <si>
    <t>01.02.2024- 31.12.2025</t>
  </si>
  <si>
    <t>06.02.2024- 31.12.2024</t>
  </si>
  <si>
    <t>16.02.2024- 31.12.2024</t>
  </si>
  <si>
    <t>16.12.2022, не установлен</t>
  </si>
  <si>
    <t>1.1.1.18.2.1. Расходы за счет резервных фондов Администрации Томской области</t>
  </si>
  <si>
    <t>(209 804)</t>
  </si>
  <si>
    <t>(209 805)</t>
  </si>
  <si>
    <t>(213 803)</t>
  </si>
  <si>
    <t>(100 314)</t>
  </si>
  <si>
    <t>(100 318)</t>
  </si>
  <si>
    <t>(100 320)</t>
  </si>
  <si>
    <t>(100 317)</t>
  </si>
  <si>
    <t>Решение Думы Колпашевского района от 02.04.2024 № 33 "О предоставлении бюджету муниципального образования "Новогоренское сельское поселение" иного межбюджетного трансферта на приобретение бензинового генератора для оснащения источника противопожарного водоснабжения в д.Новогорное"</t>
  </si>
  <si>
    <t>02.04.2024- 25.12.2024</t>
  </si>
  <si>
    <t>02.04.2024- 31.12.2024</t>
  </si>
  <si>
    <t>Решение Думы Колпашевского района от 02.04.2024 № 38 "О предоставлении иных межбюджетных трансфертов из бюджета муниципального образования "Колпашевский район" бюджетам поселений, входящих в состав муниципального образования "Колпашевский район", на подготовку проектов изменений в генеральные планы, правила землепользования и застройки"</t>
  </si>
  <si>
    <t>1.2.26. опубликование муниципальных правовых актов, обсуждение проектов муниципальных правовых актов по вопросам местного значения, 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</si>
  <si>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1.2.26.1. расходы в рамках программной деятельности</t>
  </si>
  <si>
    <t>1.2.26.1.1. Совершенствование информационной системы управления</t>
  </si>
  <si>
    <t>1.2.26.1.1.1. Обеспечение открытости и доступности информации о деятельности органов местного самоуправления муниципального образования «Колпашевский район» и органов Администрации Колпашевского района</t>
  </si>
  <si>
    <t>1.2.27. выплаты гражданам денежных вознаграждений в связи с присвоением почетных званий, получением наград, поощрений</t>
  </si>
  <si>
    <t>1.2.27.1. непрограммное направление расходов</t>
  </si>
  <si>
    <t>1.2.28. формирование и использование резервных фондов администраций муниципальных образований для финансирования непредвиденных расходов
(непрограммное направление расходов)</t>
  </si>
  <si>
    <t>(499 617)</t>
  </si>
  <si>
    <t>1.4.2.2.3. Организация архивного дела в субъекте Российской Федерации</t>
  </si>
  <si>
    <t>1.3.3.3.1.3. Укрепление общественного здоровья населения Колпашевского района</t>
  </si>
  <si>
    <t>1.1.1.13.2. непрограммное направление расходов</t>
  </si>
  <si>
    <t>1.1.1.13.2.1. ИМБТ из резервного фонда финансирования непредвиденных расходов Администрации Томской области (в соответствии с распоряжением АТО от 01.04.2024 № 244-ра)</t>
  </si>
  <si>
    <t>1.6.4.2.4.1.1.2. Финансовая поддержка инициативных проектов, направленных на осуществление дорожной деятельности в населенных пунктах Колпашевского района</t>
  </si>
  <si>
    <t>(221 522)</t>
  </si>
  <si>
    <t>(100 323)</t>
  </si>
  <si>
    <t>Постановление Администрации Колашевского района от 16.12.2022 № 1458 "О порядке и сроках расходования средств субсидии на оплату труда руководителям и специалистам муниципальных учреждений культуры и искусства в части выплат надбавок и доплат к тарифной ставке (должностному окладу) из областного бюджета и утверждении Порядка определения объёма и условия предоставления муниципальным бюджетным учреждениям субсидии на оплату труда руководителей и специалистов муниципальных учреждений культуры и искусства в части выплат надбавок и доплат к тарифной ставке (должностному окладу)" (в редакции от 09.02.2023 № 1085, от 26.02.2024 № 173, от 18.04.2024 № 353)</t>
  </si>
  <si>
    <t>Решение Думы Колпашевского района от 22.04.2024 № 51 "О предоставлении иных межбюджетных трансфертов на финансовую поддержку инициативных проектов, выдвинутых муниципальным образованием "Колпашевское городское поселение", входящим в состав Колпашевского района Томской области"</t>
  </si>
  <si>
    <t>22.04.2024- 31.12.2024</t>
  </si>
  <si>
    <t>22.04.202- 31.12.2024</t>
  </si>
  <si>
    <t>Постановление Администрации Колпашевского района от 06.04.2022 № 438 "О порядке расходования средств иного межбюджетного трансферта на достижение целевых показателей по плану мероприятий ("дорожная карта") "Изменения в сфере образования в Томской области" в части повышения заработной платы педагогических работников муниципальных дошкольных образовательных организаций, и об утверждении Порядка определения объёма и условия предоставления субсидии из средств бюджета муниципального образования "Колпашевский район" муниципальным бюджетным общеобразовательным организациям и муниципальным автономным общеобразовательным организациям субсидии на достижение целевых показателей по плану мероприятий ("дорожная карта") "Изменения в сфере образования в Томской области" в части повышения заработной платы педагогических работников муниципальных дошкольных образовательных организаций" (в редакции от 27.03.2023 № 289, от 27.03.2024 № 288, от 24.04.2024 № 365)</t>
  </si>
  <si>
    <t>Постановление Администрации Колпашевского района от 06.04.2022 № 437 "О порядке расходования средств субсидии на достижение целевых показателей по Плану мероприятий («дорожной карте») «Изменения в сфере образования в Томской области» в части повышения заработной платы педагогических работников муниципальных организаций дополнительного образования Томской области, и об утверждении Порядка определения объёма и условия предоставления субсидии из средств бюджета муниципального образования «Колпашевский район» муниципальным бюджетным общеобразовательным организациям и муниципальным автономным общеобразовательным организациям субсидии на достижение целевых показателей по Плану мероприятий («дорожной карте») «Изменения в сфере образования в Томской области» в части повышения заработной платы педагогических работников муниципальных организаций дополнительного образования Томской области" (в редакции от 27.03.2023 № 289, от 27.03.2024 № 289, от 24.04.2024 № 365)</t>
  </si>
  <si>
    <t>Постановление Администрации Колпашевского района от 07.09.2023 № 805 "О порядке расходования средств иного межбюджетного трансферта на достижение целевых показателей по Плану мероприятий ("дорожной карте") "Изменения в сфере образования в Томской области" в части повышения заработной платы педагогических работников муниципальных общеобразовательных организаций, и об утверждении Порядка определения объёма и условия предоставления субсидии из средств бюджета муниципального образования «Колпашевский район» муниципальным бюджетным образовательным организациям и муниципальным автономным образовательным организациям на достижение целевых показателей по Плану мероприятий ("дорожной карте") "Изменения в сфере образования в Томской области" в части повышения заработной платы педагогических работников муниципальных общеобразовательных организаций" (в редакции от 24.04.2024 № 365)</t>
  </si>
  <si>
    <t>Постановление Администрации Колпашевского района от 31.01.2023 № 61 "Об обеспечении обучающихся с ограниченными возможностями здоровья, не проживающих в муниципальных образовательных организациях Колпашевского района, осуществляющих образовательную деятельность по основным общеобразовательным программам, бесплатным двухразовым питанием и об утверждении Порядка определения объёма и условия предоставления субсидии из бюджета муниципального образования "Колпашевский район" муниципальным бюджетным образовательным организациям и муниципальным автономным образовательным организациям на обеспечение обучающихся с ограниченными возможностями здоровья, не проживающих в муниципальных образовательных организациях Колпашевского района, осуществляющих образовательную деятельность по основным общеобразовательным программам, бесплатным двухразовым питанием" (в редакции  от 27.03.2023 № 289, от 24.04.2024 № 365)</t>
  </si>
  <si>
    <t>Постановление Администрации Колпашевского района  от 28.04.2022 № 573 «О порядке и сроке расходования средств иного межбюджетного трансферта на организацию системы выявления, сопровождения одарённых детей и об утверждении Порядка определения объёма и условия предоставления субсидии из бюджета муниципального образования «Колпашевский район» муниципальному автономному общеобразовательному учреждению «Средняя общеобразовательная школа № 7» г.Колпашево на организацию системы выявления, сопровождения одарённых детей" (в редакии от 27.03.2023 № 289, от 27.03.2024 № 282, от 24.04.2024 № 365)</t>
  </si>
  <si>
    <t>Постановление Администрации Колпашевского района от 06.12.2022 № 1428 "О порядке и сроках расходования средств субсидии местным бюджетам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Томской области и об утверждении Порядка определения объёма и условия предоставления субсидии из средств бюджета муниципального образования "Колпашевский район" муниципальным бюджетным общеобразовательным организациям и муниципальным автономным общеобразовательным организациям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редакции от 27.03.2023 № 289, от 24.04.2024 № 365)</t>
  </si>
  <si>
    <t>Постановление Администрации Колпашевского района от 06.04.2022 № 436 "О порядке и сроках расходования средств субсидии из областного бюджета на стимулирующие выплаты в муниципальных организациях дополнительного образования в Томской области и об утверждении Порядка определения объёма и условия предоставления субсидии из бюджета муниципального образования «Колпашевский район» муниципальным бюджетным образовательным организациям и муниципальным автономным образовательным организациям Колпашевского района на стимулирующие выплаты в муниципальных организациях дополнительного образования в Томской области" (в редакции от 27.03.2023 № 289, от 24.04.2024 № 365)</t>
  </si>
  <si>
    <t>Постановление Администрации Колпашевского района от 06.04.2022 № 432 "О порядке и сроках расходования средств межбюджетных трансфертов на выплату ежемесячной стипендии Губернатора Томской области молодым учителям муниципальных образовательных организаций Томской области и об утверждении Порядка определения объёма и условия предоставления субсидии из бюджета муниципального образования «Колпашевский район» муниципальным бюджетным образовательным организациям и муниципальным автономным образовательным организациям Колпашевского района на выплату стипендии Губернатора Томской области молодым учителям муниципальных образовательных организаций Томской области" (в редакции  от 27.03.2023 № 287, от 24.04.2024 № 365)</t>
  </si>
  <si>
    <t>Постановление Администрации Колпашевского района от 24.04.2024 № 367 "Об установлении расходного обязательства муниципального образования «Колпашевский район», порядка и срока расходования субсидии из областного бюджета бюджету муниципального образования «Колпашевский район» на реализацию мероприятий по обеспечению доступа к воде питьевого качества населения сельских территорий"</t>
  </si>
  <si>
    <t>24.04.2024- 31.12.2024</t>
  </si>
  <si>
    <t>06.05.2024- 31.12.2024</t>
  </si>
  <si>
    <t>Постановление Главы Колпашевского района от 06.05.2024 № 37 "О порядке и сроках расходования иного межбюджетного трансферта из резервного фонда финансирования непредвиденных расходов Администрации Томской области, выделенного бюджету муниципального образования "Колпашевский район" (распоряжение АТО от 16.04.2024 № 82-р-в)</t>
  </si>
  <si>
    <t>(100 326)</t>
  </si>
  <si>
    <t>24.05.2024- 31.12.2024</t>
  </si>
  <si>
    <t>Решение Думы Колпашевского района от 24.05.2024 № 61 "О предоставлении иного межбюджетного трансферта из бюджета муниципального образования "Колпашевский район" бюджету муниципального образования "Чажемтовское сельское поселение" на ремонт муниципального жилья"</t>
  </si>
  <si>
    <t>Постановление Администрации Колпашевского района от 06.02.2024 № 109 "О порядке и сроках расходования средств субсидии на разработку (корректировка)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 (в редакции от 30.05.2024 № 437)</t>
  </si>
  <si>
    <t>(203 696)</t>
  </si>
  <si>
    <t>(499 712)</t>
  </si>
  <si>
    <t>Постановление Главы Колпашевского района от 06.06.2024 № 51 "О порядке и сроке расходования бюджетных ассигнований резервного фонда финансирования непредвиденных расходов Администрации Томской области" (в соответствии с распоряжением АТО от 24.05.2024 № 126-р-в)</t>
  </si>
  <si>
    <t>06.06.2024- 31.12.2024</t>
  </si>
  <si>
    <t>24.06.2024- 14.09.2024</t>
  </si>
  <si>
    <t>28.06.2024- 20.12.2024</t>
  </si>
  <si>
    <t>Решение Думы Колпашевского района от 28.06.2024 № 67 "О предоставлении иного межбюджетного трансферта бюджету муниципального образования "Колпашевское городское поселение" для расселения жителей г. Колпашево Колпашевского района Томской области из жилых помещений, расположенных в зоне обрушения береговой линии реки Оби в районе города Колпашево"</t>
  </si>
  <si>
    <t xml:space="preserve">Решение Думы Колпашевского района от 13.07.2010 № 875 "Об утверждении Положения о поряке управления и распоряжения имуществом, его приватизации и использования доходов от приватизации и использования имущества, находящегося в собственности МО "Колпашевский район" (в редакции решений Думы Колпашевского района от 23.08.2010 № 914, от 24.12.2010 № 32, от 18.03.2011 № 21, от 23.04.2012 № 48, от 24.05.2012 № 85, от 16.07.2012 № 95, от 19.12.2012 № 151, от 29.04.2013 № 33, от 25.11.2013 № 102, от 17.03.2014 № 18, от 27.10.2014 № 117, от 26.01.2015 № 7, от 24.08.2016 № 84, от 24.11.2016 № 114, от 26.02.20108 № 13, от 29.03.2018 № 21, от 27.03.2019 № 34, от 04.07.2019 № 67, от 27.05.2020 № 61, от 26.04.2021 № 48, от 30.06.2021 № 74, от 30.07.2021 № 86, от 24.04.2023 № 34, от 28.06.2024 № 68)
</t>
  </si>
  <si>
    <t>Решение Думы Колпашевского района от 28.06.2024 № 71 "О предоставлении иного межбюджетного трансферта из бюджета муниципального образования "Колпашевский район" бюджету муниципального образования "Колпашевское городское поселение" на приобретение игрового оборудования для игровых и детских площадок"</t>
  </si>
  <si>
    <t>28.06.2024- 31.12.2024</t>
  </si>
  <si>
    <t>Постановление Главы Колпашевского района от 01.07.2024 № 58 "О порядке и сроке расходования бюджетных ассигнований резервного фонда финансирования непредвиденных расходов Администрации Томской области" (распоряжение АТО от 01.04.2024 № 244-ра)</t>
  </si>
  <si>
    <t>01.07.2024- 20.12.2024</t>
  </si>
  <si>
    <t>Постановление Администрации Колпашевского района от 29.12.2011 № 1426 "Об утверждении Порядка использования бюджетных ассигнований резервного фонда Администрации Колпашевского района" (в редакции от 26.01.2012 № 61, от 15.04.2014 № 344, от 03.04.2015 № 379, от 26.05.2016 № 578, от 03.07.2024 № 554)</t>
  </si>
  <si>
    <t>24.07.2024- 31.12.2024</t>
  </si>
  <si>
    <t>Постановление Администрации Колпашевского района от 24.07.2024 № 626 "Об утверждении Порядка предоставления в 2024 году субсидии на возмещение затрат по обустройству муниципальных полигонов твердых бытовых отходов"</t>
  </si>
  <si>
    <t>Решение Думы Колпашевского района от 29.01.2024 № 16 "О предоставлении иных межбюджетных трансфертов из бюджета муниципального образования "Колпашевский район" бюджетам поселений, входящих в состав муниципального образования "Колпашевский район" на реализацию мероприятий по обеспечению доступа к воде питьевого качества населения сельских территорий" (в редакции от 24.05.2024 № 60, от 29.07.2024 № 82)</t>
  </si>
  <si>
    <t>Решение Думы Колпашевского района от 22.04.2024 № 52 "О предоставлении иных межбюджетных трансфертов на финансовую поддержку инициативных проектов, выдвинутых муниципальным образованием "Новоселовское сельское поселение", входящим в состав Колавшевского района Томской области" (в редакции от 29.07.2024 № 84)</t>
  </si>
  <si>
    <t>(414 546)</t>
  </si>
  <si>
    <t>(409 518)</t>
  </si>
  <si>
    <t>(409 520)</t>
  </si>
  <si>
    <t>1.2.19.1.3. Развитие муниципальной системы образования Колпашевского района</t>
  </si>
  <si>
    <t>1.2.19.1.3.1.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t>
  </si>
  <si>
    <t>(100 330)</t>
  </si>
  <si>
    <t>(227 514)</t>
  </si>
  <si>
    <t>(100 331)</t>
  </si>
  <si>
    <t>Решение Думы Колпашевского района от 29.07.2024 № 87 "О предоставлении иного межбюджетного трансферта из бюджета муниципального образования "Колпашевский район" бюджету муниципального образования "Чажемтовское сельское поселение" на приобретение жилых помещений в муниципальную собственность поселений Колпашевского района"</t>
  </si>
  <si>
    <t>Постановление Администрации Колпашевского района от 12.08.2024 № 684 "О порядке и сроках расходования средств субсидии на мероприятия по обеспечению комплексного развития сельских территорий (улучшение жилищных условий граждан, проживающих на сельских территориях)"</t>
  </si>
  <si>
    <t>12.08.2024- 31.12.2024</t>
  </si>
  <si>
    <t>Постановление Администрации Колпашевского района от 09.01.2023 № 1 "Об обеспечении питанием отдельных категорий обучающихся, за исключением обучающихся, получающих начальное общее образование, и обучающихся с ограниченными возможностями здоровья, муниципальных общеобразовательных организаций Колпашевского района" (в редакции от 31.03.2023 № 304, от 15.05.2023 № 416, от 13.09.2023 № 833, от 14.08.2024 № 691)</t>
  </si>
  <si>
    <t>Постановление Администрации Колпашевского района от 29.08.2024 № 750 "О порядке и сроках расходования средств субсидии на 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t>
  </si>
  <si>
    <t>29.08.2024, не установлен</t>
  </si>
  <si>
    <t>Решение Думы Колпашевского района от 03.09.2024 № 91 "О предоставлении иного межбюджетного трансферта бюджету муниципального образования "Колпашевское городское поселение" для муниципального казённого учреждения "Городской молодёжный центр" на укрепление материально-технической базы"</t>
  </si>
  <si>
    <t>03.09.2024- 10.12.2024</t>
  </si>
  <si>
    <t>04.09.2024- 15.12.2024</t>
  </si>
  <si>
    <t>Постановление Администрации от 10.09.2024 № 792 "О порядке и сроках расходования средств иных межбюджетных трансфертов из областного бюджета местным бюджетам на обеспечение одноразовым бесплатным питанием обучающихся в муниципальных общеобразовательных организациях, указанных в пункте 4 части 1 статьи 4 Закона Томской области от 5 июня 2024 года № 47-ОЗ "О дополнительных мерах социальной поддержки многодетных семей" и об утверждении Порядка определения объёма и условия предоставления субсидии из бюджета муниципального образования "Колпашевский район" муниципальным бюджетным общеобразовательным организациям и муниципальным автономным общеобразовательным организациям на обеспечение одноразовым бесплатным питанием обучающихся в муниципальных общеобразовательных организациях, указанных в пункте 4 части 1 статьи 4 Закона Томской области от 5 июня 2024 года № 47-ОЗ "О дополнительных мерах социальной поддержки многодетных семей"</t>
  </si>
  <si>
    <t>10.09.2024, не установлен</t>
  </si>
  <si>
    <t>Постановление Администрации Томской области от 02.08.2024 № 319а "Об установлении Правил предоставления и методики распределения иных межбюджетных трансфертов на обеспечение одноразовым бесплатным питанием обучающихся в муниципальных общеобразовательных организациях, указанных в пункте 4 части 1 статьи 4 Закона Томской области от 5 июня 2024 года N 47-ОЗ "О дополнительных мерах социальной поддержки многодетных семей" и о внесении изменений в постановление Администрации Томской области от 17.01.2017 N 6а"</t>
  </si>
  <si>
    <t>02.08.2024, не установлен</t>
  </si>
  <si>
    <t>Постановление Администрации Колпашевского района от 16.02.2024 № 148 "О средствах бюджета муниципального образования «Колпашевский район», направляемых на организацию транспортного обслуживания населения внутренним водным транспортом в границах Колпашевского района и порядке и сроке расходования субсидии из областного бюджета бюджету муниципального образования «Колпашевский район» на организацию транспортного обслуживания населения внутренним водным транспортом в границах муниципальных районов" (в редакции от 17.09.2024 № 818)</t>
  </si>
  <si>
    <t>30.09.2024- 25.12.2024</t>
  </si>
  <si>
    <t>Постановление Администрации Колпашевского района от 09.08.2024 № 675 "О порядке и сроке расходования субсидии из областного бюджета бюджету муниципального образования «Колпашевский район» на реализацию проектов по благоустройству сельских территорий"</t>
  </si>
  <si>
    <t>09.08.2024- 31.12.2024</t>
  </si>
  <si>
    <t>Постановление Главы Колпашевского района от 07.10.2024 № 89 "О порядке и сроках расходования бюджетных ассигнований резервного фонда финансирования непредвиденных расходов Администрации Томской области"</t>
  </si>
  <si>
    <t>01.09.2024- 20.12.2024</t>
  </si>
  <si>
    <t>Постановление Администрации Колпашевского района от 11.10.2024 № 881 "О предоставлении средств иного межбюджетного трансферта на награждение сельского поселения, победителя районной сельскохозяйственной ярмарки "Дары осени", из бюджета муниципального образования "Колпашевский район" в 2024 году"</t>
  </si>
  <si>
    <t>11.10.2024- 10.12.2024</t>
  </si>
  <si>
    <t>1.1.1.44.1.2. Развитие молодежной политики, физической культуры и массового спорта на территории муниципального образования "Колпашевский район"</t>
  </si>
  <si>
    <t>1.1.1.44.1.2.1. Развитие физической культуры и массового спорта в Колпашевском районе</t>
  </si>
  <si>
    <t>1.1.1.44.1.2.1.1. Региональный проект "Спорт - норма жизни"</t>
  </si>
  <si>
    <t>(100 340)</t>
  </si>
  <si>
    <t>2336 (100 339)</t>
  </si>
  <si>
    <t>2347 (100 338)</t>
  </si>
  <si>
    <t>Постановление Главы Колпашевского района от 24.10.2024 № 102 "О порядке и сроках расходования иного межбюджетного трансферта из резервного фонда финансирования непредвиденных расходов Администрации Томской области, выделенного бюджету муниципального образования "Колпашевский район"</t>
  </si>
  <si>
    <t>24.10.2024- 16.12.2024</t>
  </si>
  <si>
    <t>Решение Думы Колпашевского района от 28.10.2024 № 113 "О предоставлении иного межбюджетного трансферта на проведение кадастровых работ по составлению технических планов на линейных объектах"</t>
  </si>
  <si>
    <t>28.10.2024- 31.12.2024</t>
  </si>
  <si>
    <t>Решение Думы Колпашевского района от 30.09.2024 № 108 "О предоставлении в 2024 году иного межбюджетного трансферта бюджету муниципального образования "Колпашевское городское поселение" на организацию транспортного обслуживания населения внутренним водным транспортом в границах муниципального образования "Колпашевское городское поселение" (в редакции от 28.10.2024 № 117)</t>
  </si>
  <si>
    <t>Решние Думы Колпашевского района от 29.01.2024 № 18 "О предоставлении иного межбюджетного трансферта из бюджета муниципального образования "Колпашевский район" бюджету муниципального образования "Чажемтовское сельское поселение" на мероприятия по обеспечению комплексного развития сельских территорий (реализация проектов по благоустройству сельских территорий)" (в редакции от 29.07.2024 № 88, от 28.10.2024 № 119)</t>
  </si>
  <si>
    <t>(499 718)</t>
  </si>
  <si>
    <t>Постановление Главы Колпашевского района от 28.11.2024 № 119 "О порядке и сроках расходования иного межбюджетного трансферта из резервного фонда финансирования непредвиденных расходов Администрации Томской области, выделенного бюджету муниципального образования «Колпашевский район» (распоряжение АТО от 05.11.2024 № 333-р-в)</t>
  </si>
  <si>
    <t>28.11.2024- 31.12.2024</t>
  </si>
  <si>
    <t>Постановление Администрации Колпашевского района от 04.09.2024 № 771 "Об иных межбюджетных трансфертах на поощрение поселенческих команд, участвовавших в XVII летней межпоселенческой спартакиаде в д. Маракса Новоселовского сельского поселения, из бюджета муниципального образования «Колпашевский район» в 2024 году" (в редакции от 18.12.2024 № 1052)</t>
  </si>
  <si>
    <t>Решение Думы Колпашевского района от 10.09.2012 № 115 "О предоставлении иных межбюджетных трансфертов на поддержку мер по обеспечению сбалансированности местных бюджетов" (в редакции от 28.10.2013 № 85, от 22.09.2014 № 87, от 27.10.2014 № 112, от 07.09.2015 № 80, от 02.11.2017 № 4, от 20.10.2016 № 89, от 26.10.2017 № 97, от 03.10.2018 № 87, от 23.10.2019 № 106, от 331.01.2020 № 2, от 12.10.2020 № 6, от 30.09.2021 № 112, от 24.10.2022 № 115, 30.10.2023 № 106, от 30.09.2024 № 101)</t>
  </si>
  <si>
    <t>Постановление Администрации Колпашевского района от 06.05.2019 № 448 "О порядке распределения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 (в редакции от 29.11.2019 № 1340, от 03.12.2024 № 1011)</t>
  </si>
  <si>
    <t>Решение думы Колпашевского района от 28.06.2024 № 74 "О предоставлении иного межбюджетного трансферта бюджету муниципального образования "Инкинское сельское поселение" на организацию электроснабжения от дизельных электростанций" (в редакции от 03.09.2024 № 96, от 16.12.2024 № 149)</t>
  </si>
  <si>
    <t>Решение Думы Колпашевского района от 16.12.202 № 147 "О предоставлении иного межбюджетного трансферта из бюджета муниципального образования "Колпашевский район" бюджету муниципального образования "Колпашевское городское поселение" на приобретение новогодней иллюминации для украшения улиц города Колпашево"</t>
  </si>
  <si>
    <t>16.12.2024-31.12.2024</t>
  </si>
  <si>
    <t>(423 549)</t>
  </si>
  <si>
    <t>(403 560)</t>
  </si>
  <si>
    <t>(409 679)</t>
  </si>
  <si>
    <t>(499 719)</t>
  </si>
  <si>
    <t>Постановление Главы Колпашевского района от 06.12.2024 № 121 "О порядке и сроке расходования бюджетных ассигнований резервного фонда финансирования непредвиденных расходов Администрации Томской области" (в соответствии с распоряжением АТО от 27.11.2024 № 374-р-в) (в редакции от 19.12.2024 № 136)</t>
  </si>
  <si>
    <t>06.12.2024- 28.12.2024</t>
  </si>
  <si>
    <t>Постановление Администрации Колпашевского района от 18.12.2024 № 1053 "О порядке использования иного межбюджетного трансферта из областного бюджета местным бюджетам на поощрение муниципальных образований Томской области за эффективную практику ведения официальных страниц в социальных сетях"</t>
  </si>
  <si>
    <t>18.12.2024-28.12.2024</t>
  </si>
  <si>
    <t>Постановление Главы Колпашевского района от 16.12.2024 № 133 "Опорядке и сроках расходования бюджетных ассигнований резервного фонда Финансирования непредвиденных расходов Администрации Томской области.</t>
  </si>
  <si>
    <t>16.12.2024-20.12.2024</t>
  </si>
  <si>
    <t>12.12.2024-25.12.2024</t>
  </si>
  <si>
    <t>Приложение</t>
  </si>
  <si>
    <t xml:space="preserve">в целом
</t>
  </si>
  <si>
    <t xml:space="preserve">Постановление Администрации Колпашевского района от 12.12.2024 № 1038 "О порядке использования иного межбюджетного трансферта из областного бюджета местным бюджетам на поощрение муниципальных управленческих команд в 2024 году"
</t>
  </si>
  <si>
    <t>Постановление Главы Колпашевского района от 13.12.2024 № 130 "Об утверждении Порядка поощрения муниципальной управленческой команды муницмпального образования Колпашевский муниципальный район Томской области в 2024 году"</t>
  </si>
  <si>
    <t>Объм средств на исполнение расходного обязательства</t>
  </si>
  <si>
    <t>Отчетный 2024 год</t>
  </si>
  <si>
    <t>Утвержденные бюджетные назначения</t>
  </si>
  <si>
    <t>Исполнено</t>
  </si>
  <si>
    <t xml:space="preserve"> текущий 2025 год</t>
  </si>
  <si>
    <t>очередной 2026 год</t>
  </si>
  <si>
    <t xml:space="preserve">плановый период </t>
  </si>
  <si>
    <t>2027 год</t>
  </si>
  <si>
    <t>2028 год</t>
  </si>
  <si>
    <t>(208 660)</t>
  </si>
  <si>
    <t>1703 (399 586)</t>
  </si>
  <si>
    <t>(321 605)</t>
  </si>
  <si>
    <t>2106 (321 584)</t>
  </si>
  <si>
    <t>(100 327)</t>
  </si>
  <si>
    <t>(100 311)
(499 719)</t>
  </si>
  <si>
    <t xml:space="preserve">(311 562) </t>
  </si>
  <si>
    <t>(311 551) (323 554)</t>
  </si>
  <si>
    <t>1.1.1.13.1.2.5. Создание условий для деятельности добровольных пожарных команд на территориях населенных пунктов, не прикрытых подразделениями пожарной охраны</t>
  </si>
  <si>
    <t>Постановление Администрации Колпашевского района от 25.01.2022 № 81 "О порядке и сроках расходования средств иного межбюджетного трансферта на выплату ежемесячного денежного вознаграждения за классное руководство педагогическим работникам муниципальных общеобразовательных организаций и об утверждении Порядка определения объёма и условий предоставления субсидий из средств бюджета муниципального образования "Колпашевский район" муниципальным бюджетным общеобразовательным организациям и муниципальным автономным общеобразовательным организациям на выплату ежемесячного денежного вознаграждения за классное руководство педагогическим работникам муниципальных общеобразовательных организаций" (в редакции от 14.04.2022 № 484, от 27.03.2023 № 289, от 15.02.2024 № 142, от 24.04.2024 № 365, от 09.09.2024 № 781,от 24.04.2025 № 365)</t>
  </si>
  <si>
    <t>Решение Думы Колпашевского района от 29.04.2013 № 36 "О порядке использования средств бюджета муниципального образования «Колпашевский район на реализацию мероприятий, направленных на создание условий для развития сельскохозяйственного производства в поселениях, расширения рынка сельскохозяйственной продукции, сырья продовольствия" (в редакции от 27.11.2015 № 44, от 25.11.2019 № 124, от 26.08.2020 № 104, от 25.10.2021 № 138, от 29.01.2024 № 19)</t>
  </si>
  <si>
    <t>Постановление Администрации Колпашевского района от 09.01.2024 № 2 "Об утверждении муниципальной программы "Поддержка отдельных категорий граждан и некоммерческих организаций на территории Колпашевского района"  (в редакции от 10.02.2025 № 110, от 13.03.2025 № 227)</t>
  </si>
  <si>
    <t>25.11.2024- 31.12.2025</t>
  </si>
  <si>
    <t>01.01.2025- 23.12.2025</t>
  </si>
  <si>
    <t>01.01.2025- 31.12.2025</t>
  </si>
  <si>
    <t>Решение Думы Колпашевского района от 25.11.2024 №128 "О предоставлении иного межбюджетного трансферта бюджету муниципального образования "Колпашевское городское поселение" на организацию деятельности катка по адресу г. Колпашево, ул. Кирова, 41"</t>
  </si>
  <si>
    <t>16.12.2024- 31.12.2025</t>
  </si>
  <si>
    <t>Постановление Администрации Колпашевского района от 16.02.2024 № 147 "О порядке и сроках расходования средств субсидии на государственную поддержку отрасли культуры по модернизации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 кроме гг. Москвы и Санкт-Петербурга и об утверждении Порядка определения объема и условия предоставления Муниципальному бюджетному учреждению «Библиотека» субсидии на государственную поддержку отрасли культуры по модернизации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 кроме гг. Москвы и Санкт-Петербурга" (в редакции от 18.04.2024 № 353, 19.12.2024 № 1061)</t>
  </si>
  <si>
    <t>Постановление Администрации Колпашевского района от 13.12.2023 № 1138 "Об утверждении муниципальной программы "Повышение уровня благоустройства в населённых пунктах Колпашевского района и качества окружающей среды в Колпашевском районе"(в редакции от 10.02.2025 № 107, 25.02.2025 № 165)</t>
  </si>
  <si>
    <t>Постановление Администрации Колпашевского района от 30.12.2022 № 1531 "Об утверждении муниципальной программы "Повышение энергетической эффективности на территории Колпашевского района" (в редакции от 19.02.2024 № 153, от 11.04.2024 № 326, от10.02.2025 №102, от 10.02.2025 № 106)</t>
  </si>
  <si>
    <t>Постановление Администрации Колпашевского района от 28.12.2021 № 1533 "Об утверждении муниципальной программы "Обеспечение медицинских организаций системы здравоохранения Колпашевского района квалифицированными медицинскими кадрами" (в редакции от 07.02.2023 № 97, от 21.02.2023 № 149, от 07.02.2024 № 117, от28.02.2024 № 188, от 10.02.2025 № 109, от 19.03.2025 № 237)</t>
  </si>
  <si>
    <t>Постановление Администрации Колпашевского района от 30.06.2010 № 862 "Об установлении расходных обязательств по осуществлению отдельных государственных полномочий по составлению (изменению и дополнению) списков кандидатов в присяжные заседатели федеральных судов общей юрисдикции в РФ" (в редакции от 12.04.2024 № 330 )</t>
  </si>
  <si>
    <t>Постановление Администрации Колпашевскогго района от 16.04.2015 № 417 "О порядке распределения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Томской области, обеспечение дополнительного образования детей в муниципальных общеобразовательных организациях в Томской области" (в редакции от 08.09.2015 № 900, от 10.02.2016 № 104, от 11.01.2017 № 3, от13.12.2017 № 1319, от 02.04.2018 № 281, 20.12.2018 № 1408, от 29.11.2019 № 1341, от 28.05.2020 № 522, от 29.12.2020 № 1427, от 29.01.2021 № 137, от 17.01.2023 № 29, от 06.06.2023 № 518, от 27.12.2023 № 1196, от 26.12.2024 №1075)</t>
  </si>
  <si>
    <t>Постановление Администрации Колпашевского района от 08.12.2023 № 1122 "Об утверждении муниципальной программы "Муниципальные финансы" (в редакции от 19.12.2024 № 1056, от 03.03.2025 № 190)</t>
  </si>
  <si>
    <t>Решение Думы Колпашевского района от 24.02.2025 № 27 "О предоставлении иного межбюджетного трансферта бюджету муниципального образования "Саровское сельское поселение" на обустройство источника противопожарного водоснабжения в п. Большая Саровка"</t>
  </si>
  <si>
    <t>24.02.2025- 25.12.2025</t>
  </si>
  <si>
    <t>Решение Думы Колпашевского района от 24.02.2025 № 26 "О предоставлении бюджету муниципального образования "Саровское сельское поселение" иного межбюджетного трансферта на организацию работы добровольных пожарных команд на территориях населённых пунктов, неприкрытых подразделениями пожарной охраны"</t>
  </si>
  <si>
    <t>(100 343)</t>
  </si>
  <si>
    <t>24.02.2025- 27.12.2025</t>
  </si>
  <si>
    <t>14.03.2025- 31.12.2025</t>
  </si>
  <si>
    <t>(100 099)</t>
  </si>
  <si>
    <t xml:space="preserve">Постановление Администрации Колпашевского района от 05.02.2025 № 78 "Об установлении расходного обязательства муниципального образования "Колпашевский район", порядка и сроков расходования средств субсидии на приобретение оборудования для малобюджетных спортивных площадок по месту жительства и учёбы в муниципальных образованиях Томской области, за исключением муниципального образования «Город Томск», муниципального образования «Городской округ закрытое административнотерриториальное образование Северск Томской области»
</t>
  </si>
  <si>
    <t>05.02.2025- 29.12.2025</t>
  </si>
  <si>
    <t>(210 607)</t>
  </si>
  <si>
    <t>Постановление Администрации Колпашевского района от 29.01.2025 № 63 "Об установлении расходного обязательства муниципального образования "Колпашевский район", порядка и срока расходования субсидии на создание модельных муниципальных библиотек по результатам конкурсного отбора, проводимого Министерством культуры Российской Федерации"</t>
  </si>
  <si>
    <t>29.01.2025- 31.12.2025</t>
  </si>
  <si>
    <t>(209 590)</t>
  </si>
  <si>
    <t>13.02.2025-31.12.2025</t>
  </si>
  <si>
    <t>01.01.2020- 31.12.2025</t>
  </si>
  <si>
    <t>Постановление Администрации Колпашевского района от 06.02.2025 № 84 "О средствах, направляемых на достижение целевых показателей по плану мероприятий («дорожной карте») «Изменения в сфере культуры, направленные на повышение её эффективности», в части повышения заработной платы работников культуры муниципальных учреждений культуры, порядке и сроках расходования средств субсидии предоставленной из бюджета Томской области, об утверждении Порядка определения объёма и условия предоставления субсидии муниципальным бюджетным учреждениям культуры Колпашевского района на достижение целевых показателей по плану мероприятий («дорожной карте») «Изменения в сфере культуры, направленные на повышение её эффективности», в части повышения заработной платы работников культуры муниципальных учреждений культуры"</t>
  </si>
  <si>
    <t>06.02.2025- 31.12.2025</t>
  </si>
  <si>
    <t>Постановление Администрации Колпашевского района от 05.02.2025 № 79 "Об установлении расходного обязательства муниципального образования "Колпашевский район", порядка и срока расходования субсидии на обеспечение участия спортивных сборных команд муниципальных районов и городских округов Томской области в официальных региональных спортивных, физкультурных мероприятиях, проводимых на территории Томской области, за исключением спортивных сборных команд муниципального образования "Город Томск", муниципального образования "Городской округ - закрытое административно-территориальное образование Северск Томской области", муниципального образования "Томский район"</t>
  </si>
  <si>
    <t>05.02.2025- 31.12.2025</t>
  </si>
  <si>
    <t>27.01.2025-22.12.2025</t>
  </si>
  <si>
    <t>27.01.2025-16.12.2025</t>
  </si>
  <si>
    <t>28.01.2025- 25.12.2025</t>
  </si>
  <si>
    <t>17.03.2025- 31.12.2025</t>
  </si>
  <si>
    <t>19.03.2025- 31.12.2025</t>
  </si>
  <si>
    <t>25.03.2025- 31.12.2025</t>
  </si>
  <si>
    <t>27.03.2025- 23.12.2025</t>
  </si>
  <si>
    <t>27.03.2025- 31.12.2025</t>
  </si>
  <si>
    <t>Постановление Администрации Колпашевского района от 01.04.2025 № 291 "Об иных межбюджетных трансфертах на поощрение поселенческих команд, участвовавших в XVI зимней межпоселенческой спартакиаде в с. Тогур Колпашевского городского поселения, из бюджета муниципального образования "Колпашевский район" в 2025 году"</t>
  </si>
  <si>
    <t>01.04.2025- 15.06.2025</t>
  </si>
  <si>
    <t>(215 602)</t>
  </si>
  <si>
    <t>(203 547)</t>
  </si>
  <si>
    <t>(203 548)</t>
  </si>
  <si>
    <t>(210 615)</t>
  </si>
  <si>
    <t>(210 616)</t>
  </si>
  <si>
    <t>(210 501)</t>
  </si>
  <si>
    <t>Постановление Главы Колпашевского района от 02.04.2025 № 43 "О порядке и сроках расходования бюджетных ассигнований резервного фонда Финансирования непредвиденных расходов Администрации Томской области.</t>
  </si>
  <si>
    <t>03.04.2025- 31.12.2025</t>
  </si>
  <si>
    <t>Постановление Администрации Колашевского района от 24.02.2025 № 154 "Об установлении расходного обязательства муниципального образования «Колпашевский район», порядка и срока расходования субсидии на обеспечение развития и укрепления материально–технической базы домов культуры в населенных пунктах с числом жителей до 50 тысяч человек"</t>
  </si>
  <si>
    <t>24.02.2025, не установлен</t>
  </si>
  <si>
    <t>Постановление Администрации Колашевского района от 23.04.2025 № 336 "О порядке и сроках расходования средств субсидии на государственную поддержку отрасли культуры"</t>
  </si>
  <si>
    <t>23.05.2025, не установлен</t>
  </si>
  <si>
    <t>Постановление Администрации Томской области от 27.09.2019 № 347а "Об утверждении государственной программы "Развитие культуры в Томской области"</t>
  </si>
  <si>
    <t>Прил. № 5</t>
  </si>
  <si>
    <t>Прил. № 2</t>
  </si>
  <si>
    <t>(208 610)</t>
  </si>
  <si>
    <t>Проект постановления Администрации Колпашевского района</t>
  </si>
  <si>
    <t>Постановление Администрации Томской области от 27.09.2019 г. N 345а "Об утверждении государственной программы "Развитие молодежной политики, физической культуры и спорта в Томской области"</t>
  </si>
  <si>
    <t>прил. № 4</t>
  </si>
  <si>
    <t>1.1.1.46.1.1.2. Региональный проект "Россия - страна возможностей</t>
  </si>
  <si>
    <t>(208 593)</t>
  </si>
  <si>
    <t>(208 594)</t>
  </si>
  <si>
    <t>(208 595)</t>
  </si>
  <si>
    <t>16.02.2024, не установлен</t>
  </si>
  <si>
    <t>(210 608)</t>
  </si>
  <si>
    <t>1.1.1.69.1.2. Комплексное развитие сельских территорий Колпашевского района Томской области</t>
  </si>
  <si>
    <t>1.1.1.69.1.1. Повышение уровня благоустройства в населённых пунктах Колпашевского района и качества окружающей среды в Колпашевском районе</t>
  </si>
  <si>
    <t>1.1.1.69.1.2.1. Реализация проектов по благоустройству сельских территорий</t>
  </si>
  <si>
    <t>Проект постановеления Администрации  Колпашвеского района</t>
  </si>
  <si>
    <t>1.2.1.1.2. Обеспечение безопасности населения Колпашевского района</t>
  </si>
  <si>
    <t>1.2.1.1.1. Совершенствование системы муниципального управления в Колпашевском районе</t>
  </si>
  <si>
    <t>1.2.1.1.1.1.Развитие муниципальной службы и кадрового потенциала</t>
  </si>
  <si>
    <t>1.2.1.1.1.1.1. Повышение эффективности кадровой политики в муниципальном образовании "Колпашевский район"</t>
  </si>
  <si>
    <t>1.2.1.1.1.2. Совершенствование информационной системы управления</t>
  </si>
  <si>
    <t>1.2.1.1.1.2.1. Организация системы электронного документооборота (СЭД) и справочно-правовой системы</t>
  </si>
  <si>
    <t>1.2.1.1.1.2.2. Организация эффективной бесперебойной работы информационных систем</t>
  </si>
  <si>
    <t>1.2.1.1.1.2.3. Обеспечение открытости и доступности информации о деятельности органов местного самоуправления муниципального образования «Колпашевский район» и органов Администрации Колпашевского района</t>
  </si>
  <si>
    <t>1.2.1.1.2.1.Защита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</si>
  <si>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1.2.1.1.2.1.2. Оснащение, организация работы ЕДДС Администрации Колпашевского района</t>
  </si>
  <si>
    <t>1.2.1.1.2.1.1. Обеспечение деятельности ЕДДС Администрации Колпашевского района</t>
  </si>
  <si>
    <t>1.2.1.1.1.1. Развитие муниципальной службы и кадрового потенциала</t>
  </si>
  <si>
    <t>(311 606)</t>
  </si>
  <si>
    <t>(319 581)</t>
  </si>
  <si>
    <t>(311 562)</t>
  </si>
  <si>
    <t>1854 (306 691)</t>
  </si>
  <si>
    <t>(301 581) (319 581)</t>
  </si>
  <si>
    <t>27.01.2025-31.12.2025</t>
  </si>
  <si>
    <t>Решение Думы Колпашевского района от 27.01.2025 № 12 "О предоставлении иного межбюджетного трансферта из бюджета муниципального образования «Колпашевский район» бюджету муниципального образования «Колпашевское городское поселение» на компенсацию сверхнормативных расходов и выпадающих доходов ресурсоснабжающих организаций"</t>
  </si>
  <si>
    <t>(219 579)</t>
  </si>
  <si>
    <t>(100 370)</t>
  </si>
  <si>
    <t>Решение Думы Колпашевского района от 27.03.2025 № 48 "О предоставлении иного межбюджетного трансферта бюджету муниципального образования "Новоселовское сельское поселение" на обустройство источника противопожарного водоснабжения в с. Новоселово"</t>
  </si>
  <si>
    <t>1.6.4.2.20.1.1.2. Организация физкультурно - оздоровительной работы с население</t>
  </si>
  <si>
    <t>Решение Думы Колпашевского района от 27.01.2025 № 14 "О предоставлении бюджетам поселений Колпашевского района иных межбюджетных трансфертов на обеспечение условий для развития физической культуры и массового спорта"</t>
  </si>
  <si>
    <t>Постановление Администрации Колпашевского района от 17.01.2025 № 23 "Об ином межбюджетном трансферте бюджету муниципального образования «Колпашевское городское поселение» на обустройство спортивных объектов в поселениях Колпашевского района, из бюджета муниципального образования «Колпашевский район» в 2025 году"</t>
  </si>
  <si>
    <t>27.01.2025-27.12.2025</t>
  </si>
  <si>
    <t>Решение Думы Колпашевского района от 27.01.2025 № 15 "О предоставлении иных межбюджетных трансфертов бюджетам поселений Колпашевского района на доставку и установку оборудования для малобюджетных спортивных площадок по месту жительства и учёбы"</t>
  </si>
  <si>
    <t>27.03.2025-31.12.2025</t>
  </si>
  <si>
    <t>1.6.4.2.24. участие в организации деятельности по сбору (в том числе раздельному сбору) и транспортированию твердых коммунальных отходов</t>
  </si>
  <si>
    <t>1.6.4.2.24.1. расходы в рамках программной деятельности</t>
  </si>
  <si>
    <t>1.6.4.2.24.1.1.Повышение уровня благоустройства в населённых пунктах Колпашевского района и качества окружающей среды в Колпашевском районе</t>
  </si>
  <si>
    <t>1.6.4.2.24.1.1.1.Реализация (содействие в реализации) мероприятий, направленных на повышение качества окружающей среды при обращении с отходами</t>
  </si>
  <si>
    <t>Решение Думы Колпашевского района от 27.01.2025 № 11 "О предоставлении из бюджета муниципального образования "Колпашевский район" бюджетам поселений, входящих в состав муниципального образования "Колпашевский район", иных межбюджетных трансфертов на создание, содержание, обустройство мест накопления твёрдых коммунальных отходов"</t>
  </si>
  <si>
    <t>Решние Думы Колпашевского района от 27.01.2025 № 13 "О предоставлении иного межбюджетного трансферта бюджету муниципального образования "Колпашевское городское поселение" на улучшение состояния благоустройства муниципальных территорий общественного пользования"</t>
  </si>
  <si>
    <t>1.6.4.2.39.1. расходы в рамках программной деятельности</t>
  </si>
  <si>
    <t>1.6.4.2.39.2. непрограммное направление расходов</t>
  </si>
  <si>
    <t>(499 715)</t>
  </si>
  <si>
    <t>1.6.4.2.39.1.1. Развитие молодежной политики, физической культуры и массового спорта на территории муниципального образования "Колпашевский район</t>
  </si>
  <si>
    <t>1.6.4.2.39.1.1.1 Реализация (содействие в реализации) мероприятий, направленных на ремонт и оборудование молодежного центра</t>
  </si>
  <si>
    <t>(100 342)</t>
  </si>
  <si>
    <t>Решение Думы Колпашевского района от 24.02.2025 № 30 "О предоставлении иного межбюджетного трансферта бюджету муниципального образования «Колпашевское городское поселение» на оказание финансовой поддержки в целях ремонта и оборудования молодёжного центра по адресу: г. Колпашево, ул. Кирова, 43"</t>
  </si>
  <si>
    <t>1.6.4.2.39. организация и осуществление мероприятий по работе с детьми и молодежью в городском поселении</t>
  </si>
  <si>
    <t>24.02.2025-31.12.2025</t>
  </si>
  <si>
    <t>Постановление Администрации Колпашевского района от 26.03.2025 № 262 "О порядке и сроках расходования средств иных межбюджетных трансфертов из областного бюджета местным бюджетам на выплату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 об утверждении Порядка определения объёма и условия предоставления субсидии из бюджета муниципального образования «Колпашевский район» муниципальным бюджетным общеобразовательным организациям и муниципальным автономным общеобразовательным организациям на выплату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</si>
  <si>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Постановление Администрации Колпашевского района от 24.12.2021 № 1520 "Об утверждении муниципальной программы "Развитие коммунальной инфраструктуры Колпашевского района" (в редакции от 01.02.2023 № 64, от 13.03.2023, от 16.03.2023 № 248, от 09.02.2024 № 124, от 11.04.2024 № 327, 10.02.2025 № 108)</t>
  </si>
  <si>
    <t>06.10.2003-31.12.2026</t>
  </si>
  <si>
    <t>06.10.2003,-31.12.2026</t>
  </si>
  <si>
    <t>Постановление Администрации Колпашевского района от 22.12.2021 № 1508 "Об утверждении муниципальной программы "Развитие транспортной инфраструктуры в Колпашевском районе" (в редакции от 18.02.2022 № 205, от 01.02.2023 № 63, от 12.04.2023 № 331, от 01.02.2024 № 95, от 09.02.2024 № 126, от 28.02.2024 № 186, от 30.01.2025 № 66, от 10.02.2025 № 103, от 26.03.2025 № 258)</t>
  </si>
  <si>
    <t>01.01.2020- 31.12.2026</t>
  </si>
  <si>
    <t>Постановление Администрации Томской области от 26.09.2019 № 340а «Об утверждении государственной программы «Развитие транспортной инфраструктуры в Томской области»</t>
  </si>
  <si>
    <t>Подпр 1 Прил. № 2</t>
  </si>
  <si>
    <t>Решение Думы Колпашевского района от 17.03.2014 № 20 О порядке использования средств бюджета муниципального образования "Колпашевский район" на проведение мероприятий по участию в профилактике терроризма и экстремизма, а также в минимизации и ликвидации последствий проявлений терроризма и экстремизма на территории муниципального образования "Колпашевский район"</t>
  </si>
  <si>
    <t>1.1.1.16.организация мероприятий межпоселенческого характера по охране окружающей среды, в том числе организация и проведение в соответствии с законодательством в области охраны окружающей среды общественных обсуждений планируемой хозяйственной и иной деятельности на территории соответствующего муниципального района</t>
  </si>
  <si>
    <t>ст.15, п.1, п.п. 9</t>
  </si>
  <si>
    <t xml:space="preserve">ст. 15, ч. 1, п 11.              </t>
  </si>
  <si>
    <t>Подпр.1, прил 8</t>
  </si>
  <si>
    <t>1.1.1.17.2. непрограммное направление расходов</t>
  </si>
  <si>
    <t>Прил.12</t>
  </si>
  <si>
    <t>1.1.1.18.1.1.2. Организация видеонаблюдения в образовательных организациях, в муниципальных учреждениях культуры, в местах массового скопления людей, в местах выезда и въезда на территорию населенных пунктов</t>
  </si>
  <si>
    <t>1.1.1.18.1.1.3. Обустройство проезжих частей, прилегающих к образовательным организациям, местам проведения культурно-массовых мероприятий оборудованием, дорожными знаками, разметкой согласно требованиям ГОСТ, организация практических занятий с учащимися младших классов</t>
  </si>
  <si>
    <t xml:space="preserve">Постановление Администрации Колпашевского района от 19.03.2025 № 239 "Об установлении расходного обязательства муниципального образования «Колпашевский район», порядка и срока расходования субсидии на обеспечение антитеррористической защиты отремонтированных зданий муниципальных общеобразовательных организаций"
</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</si>
  <si>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</si>
  <si>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 xml:space="preserve">ст. 15, ч. 1, п 11.               </t>
  </si>
  <si>
    <t>01.01.2006 - 31.12.2026</t>
  </si>
  <si>
    <t>1.1.1.21.осуществление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</si>
  <si>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организация предоставления дополнительного образования взрослых по дополнительным образовательным программам спортивной подготовки в муниципальных образовательных организациях,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</si>
  <si>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ст.15, п.1, п.п. 14</t>
  </si>
  <si>
    <t>1.1.1.24.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</si>
  <si>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ст.15, п.1, п.п. 16</t>
  </si>
  <si>
    <t>1.1.1.27.2.1.расходы на обеспечение деятельности МКУ «Архив»</t>
  </si>
  <si>
    <t>ст.15, п.1, п.п. 15</t>
  </si>
  <si>
    <t>Постановление Администрации Колпашевского района от 15.12.2021 № 1483 "Об утверждении муниципальной программы "Развитие культуры в Колпашевском районе" (в редакции от 24.03.2022 № 383, от 29.12.2022 № 1525, от 10.03.2023 № 215, от 11.09.2023 № 813, от 09.02.2024 № 127, от 12.04.2024 № 334, от25.02.2025 №170, от 01.04.2025 № 289)</t>
  </si>
  <si>
    <t>Прил. № 9</t>
  </si>
  <si>
    <t>06.10.2003 - 31.12.2026</t>
  </si>
  <si>
    <t>Закон РФ от 09.10.1992 № 3612-I "Основы законодательства Российской Федерации о культуре"</t>
  </si>
  <si>
    <t>01.01.2020- 31.12.2027</t>
  </si>
  <si>
    <t>Постановление Администрации Колашевского района от 16.12.2022 № 1458 "О порядке и сроках расходования средств субсидии на оплату труда руководителям и специалистам муниципальных учреждений культуры и искусства в части выплат надбавок и доплат к тарифной ставке (должностному окладу) из областного бюджета и утверждении Порядка определения объёма и условия предоставления муниципальным бюджетным учреждениям субсидии на оплату труда руководителей и специалистов муниципальных учреждений культуры и искусства в части выплат надбавок и доплат к тарифной ставке (должностному окладу)" (в редакции от 09.02.2023 № 1085, от 26.02.2024 № 173, от 18.04.2024 № 353, от 19.12.2024 № 1061, от 31.03.2025 № 275)</t>
  </si>
  <si>
    <t>ст.15, п.1, п.п.24</t>
  </si>
  <si>
    <t>1.1.1.39. создание условий для расширения рынка сельскохозяйственной продукции, сырья и продовольствия</t>
  </si>
  <si>
    <t>ст.15, п.1, п.п. 25</t>
  </si>
  <si>
    <t>Постановление Администрации Колпашевского района от 04.12.2023 № 1096 "Об утверждении муниципальной программы "Развитие сельскохозяйственного производства в Колпашевском районе" (в редакции от 30.01.2025 № 67, от 13.05.2025 № 379)</t>
  </si>
  <si>
    <t>Постановление Администрации Колпашевского района от 13.05.2025 № 382 "Об утверждении Порядка предоставления из бюджета муниципального образования «Колпашевский район» субсидий на поддержку приоритетных направлений агропромышленного комплекса и развитие малых форм хозяйствования"</t>
  </si>
  <si>
    <t>01.01.2025, не установлен</t>
  </si>
  <si>
    <t>Постановление Администрации Колпашевского района от 28.11.2024 № 999 "Об утверждении муниципальной программы "Развитие предпринимательства в Колпашевском районе""</t>
  </si>
  <si>
    <t>01.01.2025-31.12.2030</t>
  </si>
  <si>
    <t>1.1.1.42.1.1.1. Развитие инфраструктуры поддержки субъектов малого и среднего предпринимательства</t>
  </si>
  <si>
    <t>1.1.1.42.1.1.2.  Предоставление финансовой поддержки деятельности субъектов малого и среднего предпринимательства</t>
  </si>
  <si>
    <t>14.02.2025, не установлен</t>
  </si>
  <si>
    <t>1.1.1.43. оказание поддержки социально ориентированным некоммерческим организациям, благотворительной деятельности и добровольчеству (волонтерству)</t>
  </si>
  <si>
    <t>1.1.1.43.1.1.Поддержка отдельных категорий граждан и некоммерческих организаций на территории Колпашевского района</t>
  </si>
  <si>
    <t>1.1.1.43.1.1.1. Оказание финансовой поддержки отдельных категорий граждан и социально-ориентированных некоммерчкских организаций Колпашевского района</t>
  </si>
  <si>
    <t>ст.15, п.1, п.п. 26</t>
  </si>
  <si>
    <t>Прил. № 4</t>
  </si>
  <si>
    <t xml:space="preserve">ст.15, п.1, п.п.26
</t>
  </si>
  <si>
    <t>Прил. № 6 подпр.№ 1</t>
  </si>
  <si>
    <t>Прил. № 1 к подпр № 1</t>
  </si>
  <si>
    <t xml:space="preserve">ст.15, п.1, п.п.27
</t>
  </si>
  <si>
    <t>1.1.1.46.  организация и осуществление мероприятий межпоселенческого характера по работе с детьми и молодежью, участие в реализации молодежной политики, разработка и реализация мер по обеспечению и защите прав и законных интересов молодежи, разработка и реализация муниципальных программ по основным направлениям реализации молодежной политики, организация и осуществление мониторинга реализации молодежной политики</t>
  </si>
  <si>
    <t>Постановление Администрации Томской области от 27.09.2019 г. № 345а "Об утверждении государственной программы "Развитие молодежной политики, физической культуры и спорта в Томской области"</t>
  </si>
  <si>
    <t>Прил. № 1</t>
  </si>
  <si>
    <t>01.01.2020-31.12.2025</t>
  </si>
  <si>
    <t>Подпр.№ 1 прил № 1</t>
  </si>
  <si>
    <t xml:space="preserve">ст.15, п.1,  п.п. 19
</t>
  </si>
  <si>
    <t>Постановление Администрации Колпашевского района от 15.12.2021 № 1483 "Об утверждении муниципальной программы "Развитие культуры в Колпашевском районе" (в редакции от 24.03.2022 № 383, от 29.12.2022 № 1525, от 10.03.2023 № 215, от 11.09.2023 № 813, от 09.02.2024 № 127, от 12.04.2024 № 334, от 25.02.2025 № 170, от 01.04.2025 № 289)</t>
  </si>
  <si>
    <t>06.02.2025 -31.12.2025</t>
  </si>
  <si>
    <t>Прил. №10</t>
  </si>
  <si>
    <t>01.01.2021-31.12.2026</t>
  </si>
  <si>
    <t>1.1.2.18. организация библиотечного обслуживания населения, комплектование и обеспечение сохранности библиотечных фондов библиотек поселения</t>
  </si>
  <si>
    <t xml:space="preserve">Решение Думы Колпашевского района от 25.11.2024 № 127 "О принятии муниципальным образованием "Колпашевский район" осуществления части полномочий по решению вопроса местного значения "Организация библиотечного обслуживания населения, комплектование и обеспечение сохранности библиотечных фондов библиотек поселения" </t>
  </si>
  <si>
    <t>01.01.2025-31.12.2029</t>
  </si>
  <si>
    <t>1.1.2.19. создание условий для организации досуга и обеспечения жителей  поселения услугами организаций культуры</t>
  </si>
  <si>
    <t xml:space="preserve">Решение Думы Колпашевского района от 25.11.2024 № 126 "О принятии муниципальным образованием "Колпашевский район" осуществления части полномочий по решению вопросов местного значения" </t>
  </si>
  <si>
    <t xml:space="preserve">Решение Думы Колпашевского района от 23.11.2020 № 21 "О принятии муниципальным образованием «Колпашевский район» осуществления части полномочий по решению вопроса местного значения
«Осуществление мер по противодействию коррупции в границах поселения" </t>
  </si>
  <si>
    <t>ст.15 п.4</t>
  </si>
  <si>
    <t>01.01.2021- 31.12.2025</t>
  </si>
  <si>
    <t xml:space="preserve">x
</t>
  </si>
  <si>
    <t>1.2.8.2.1. Расходы на обеспечение деятельности МКУ «Агентство»</t>
  </si>
  <si>
    <t>Решение Думы Колпашевского района 13.07.2010 № 875 "Об утверждении Положения о порядке управления и распоряжения имуществом, его приватизации и использования доходов от приватизации и использования имущества, находящегося в собственности муниципального образования «Колпашевский район" (в редакции от 23.08.2010 № 914, от 24.12.2010 № 32, от 18.03.2011 № 21, от 23.04.2012 № 48, от 24.05.2012 № 85, от 16.07.2012 № 95, от 19.12.2012 № 151, от 29.04.2013 №33, от 25.11.2013 №102, от 17.03.2014 №18, от 27.10.2014 № 117, от 26.01.2015 № 7, от 24.08.2016 № 84, от 24.11.2016 № 114, от 26.02.2018 № 13, от 29.03.2018 № 21, от 27.03.2019 № 34, от 04.07.2019 № 67, от 27.05.2020 № 61, от 26.04.2021 № 48, от 30.06.2021 № 74, от 30.07.2021 № 86, от 24.04.2023 № 34, от 28.06.2024 № 68)</t>
  </si>
  <si>
    <t>Гл.12, ст. 37</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</si>
  <si>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(непрограммное направление расходов)</t>
  </si>
  <si>
    <t>ст.17, п. 1, п.п. 8.1.</t>
  </si>
  <si>
    <t>06.10.2013-31.12.2026</t>
  </si>
  <si>
    <t>ст. 14, п. 4</t>
  </si>
  <si>
    <t>1.2.19.1.1. Совершенствование системы муниципального управления в Колпашевском районе</t>
  </si>
  <si>
    <t>Постановление Администрации Колпашевского района от 15.12.2021 № 1483 "Об утверждении муниципальной программы "Развитие культуры в Колпашевском районе" (в редакции от 24.03.2022 № 383, от 29.12.2022 № 1525, от 10.03.2023 № 215, от 11.09.2023 № 813, от 09.02.2024 № 127, от 12.04.2024 № 334, от 25.02.2021 №170, от 01.04.2025 № 289)</t>
  </si>
  <si>
    <t>Прил 7 подрог 1</t>
  </si>
  <si>
    <t>Решение Думы Колпашевского района от 19.11.2012 № 142 "Об утверждении Положения «О звании «Почётный гражданин Колпашевского района» (в редакции от 28.03.2017 № 17, от 30.10.2023 № 109, от 24.02.2025 № 20, от 24.02.2025 № 20)</t>
  </si>
  <si>
    <t>ст.17, п. 1, п.п. 9.</t>
  </si>
  <si>
    <t xml:space="preserve">ст.15.1. п. 1, п.п. 8.
</t>
  </si>
  <si>
    <t>Постановление Администрации Томской области от 27.09.2019 № 360а
"Об утверждении государственной программы "Развитие предпринимательства и повышение эффективности государственного управления социально-экономическим развитием Томской области"</t>
  </si>
  <si>
    <t>Подпр.1</t>
  </si>
  <si>
    <t xml:space="preserve">ст.20, п. 5.
</t>
  </si>
  <si>
    <t>02.02.2023- 31.12.2025</t>
  </si>
  <si>
    <t>Постановление Администрации Колпашевского района от 14.05.2015 № 480 "О порядке расходования средств иных межбюджетных трансфертов, предоставленных из областного бюджета и средств бюджета муниципального образования "Колпашевский район" на оказание помощи в ремонте и (или) переустройстве жилых помещений граждан,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 из числа: участников и инвалидов Великой Отечественной войны 1941-1945 годов; тружеников тыла военных лет; лиц, награжденных знаком "Жителю блокадного Ленинграда"; лиц, награжденных знаком "Житель осажденного Севастополя"; бывших несовершеннолетних узников концлагерей; вдов погибших (умерших) участников" (в редакции от 30.06.2016 № 713, от 18.10.2016 № 1143, от 19.12.2016 № 1373, от 25.04.2017 № 367, от 16.11.2017 № 1200, от 22.03.2018 № 237, от 02.07.2018 № 647, от 11.06.2019 № 612, от 12.08.2019 № 890, от 27.12.2019 № 1496, от 12.03.2020 № 245, от 28.05.2020 № 523, от 10.06.2021 № 725, от 14.04.2022 № 480, от 31.03.2023 № 308, от 28.06.2024 № 539, от 11.04.2025 № 316)</t>
  </si>
  <si>
    <t>1.3.3.3.1.2.1. Обеспечение медицинских организаций системы здравоохранения Колпашевского района квалифицированными медицинскими кадрами</t>
  </si>
  <si>
    <t>1.3.3.3.1.2.1.1. Создание условий для сокращения кадрового дефицита в медицинских организациях Колпашевского района»</t>
  </si>
  <si>
    <t>1.4.1.2.осуществление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</si>
  <si>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01.01.2027, не установлен</t>
  </si>
  <si>
    <t>Постановление Администрации Колпашевского района от 30.06.2010 № 858 "Об установлении расходного обязательства МО "Колпашевский район" по осуществлению отдельных государственных полномочий по ТО по хранению, комплектованию, учету и использованию архивных документов, относящихся к государственной собственности ТО и находящихся на территории МО "Колпашевский район" (в редакции от 07.04.2011 № 322, от 05.11.2013 № 1170, от 06.05.2020 № 449)</t>
  </si>
  <si>
    <t>01.10.2010, не установлен</t>
  </si>
  <si>
    <t>01.05.2006, не установлено</t>
  </si>
  <si>
    <t>08.05.2006, не установлено</t>
  </si>
  <si>
    <t>01.01.2014, не установлено</t>
  </si>
  <si>
    <t>Федеральный закон от 21 декабря 2021 г. N 414-ФЗ
"Об общих принципах организации публичной власти в субъектах Российской Федерации"</t>
  </si>
  <si>
    <t>ст. 44, п. 86</t>
  </si>
  <si>
    <t>ст.7</t>
  </si>
  <si>
    <t>Федеральный закон от 21.12.2021 N 414-ФЗ
"Об общих принципах организации публичной власти в субъектах Российской Федерации"</t>
  </si>
  <si>
    <t>Постановление Главного государственного санитарного врача РФ от 28.01.2021 N 4
"Об утверждении санитарных правил и норм СанПиН 3.3686-21 "Санитарно-эпидемиологические требования по профилактике инфекционных болезней"</t>
  </si>
  <si>
    <t>раздел XXII, п.1789</t>
  </si>
  <si>
    <t>01.09.2021-01.09.2027</t>
  </si>
  <si>
    <t xml:space="preserve">Закон Томской области от 11.04.2013 N 51-ОЗ "О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 </t>
  </si>
  <si>
    <t xml:space="preserve">Закон Томской области от 11.09.2007 N 188-ОЗ "О наделении органов местного самоуправления государственными полномочиями по обеспечению жилыми помещениями детей-сирот и детей, оставшихся без попечения родителей, лиц из их числа, а также по обеспечению иных дополнительных гарантий прав на жилое помещение лиц, которые ранее относились к указанной категории" </t>
  </si>
  <si>
    <t>1.4.2.5. поддержкуПоддержка сельскохозяйственного производства, разработкуразработка и реализациюреализация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животноводства без учета рыбоводства и рыболовства)</t>
  </si>
  <si>
    <t>1.4.2.28. Ообеспечение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</si>
  <si>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Федеральный закон от 21.12.1996 N 159-ФЗ
"О дополнительных гарантиях по социальной поддержке детей-сирот и детей, оставшихся без попечения родителей"</t>
  </si>
  <si>
    <t>16.12.2024, не установлено</t>
  </si>
  <si>
    <t>Закон Томской области от 15.12.2004 N 248-ОЗ "О наделении органов местного самоуправления отдельными государственными полномочиями по выплате надбавок к должностному окладу педагогическим работникам муниципальных образовательных организаций"</t>
  </si>
  <si>
    <t>16.12.2004, не установлено</t>
  </si>
  <si>
    <t>Постановление Администрации Колпашевского района  от 28.06.2010 № 829 "Об установлении расходных обязательств по осуществлению отдельных государственных полномочий по выпоате надбавок к тарифной ставке (должностному окладу) педагогическим работникам и руководителям  муниципальных образовательных учреждений" (в редакции от 28.11.2013 № 1232)</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</si>
  <si>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социальной поддержки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</si>
  <si>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1.4.2.54. Организация проведения на территории субъекта Российской Федерации мероприятий по предупреждению и ликвидации болезней животных, их лечению, защите населения от болезней, общих для человека и животных, за исключением вопросов, решение которых отнесено к ведению Российской Федерации</t>
  </si>
  <si>
    <t>1.4.2.99.49.8. Участие в обеспечении социальной защиты инвалидов, обеспечении образования инвалидов, обеспечении доступа инвалидов к информации, организации социально-бытового обслуживания инвалидов, комплексной реабилитации и абилитации инвалидов, ранней помощи детям и их семьям, сопровождаемого проживания инвалидов</t>
  </si>
  <si>
    <t>Закон Томской области от 09.12.2013 N 214-ОЗ "О наделении органов местного самоуправления отдельными государственными полномочиями в сфере социальной поддержки обучающихся с ограниченными возможностями здоровья"</t>
  </si>
  <si>
    <t>Закон Томской области от 09.12.2013 N 213-ОЗ "О наделении органов местного самоуправления отдельными государственными полномочиями по обеспечению предоставления бесплатной методической, психолого-педагогической, диагностической и консультативной помощи, в том числе в дошкольных образовательных организациях и общеобразовательных организациях, если в них созданы соответствующие консультационные центры, родителям (законным представителям) несовершеннолетних обучающихся, обеспечивающих получение детьми дошкольного образования в форме семейного образования"</t>
  </si>
  <si>
    <t>01.09.2013, не установлено</t>
  </si>
  <si>
    <t>Решение Думы Колпашевского района от 25.03.2015 № 15 "О мерах по реализации постановления Администрации Томской области от 25 октября 2018 г. N 416а «Об утверждении Методики определения размера субвенций местным бюджетам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Томской области, обеспечение дополнительного образования детей в муниципальных общеобразовательных организациях в Томской области и определении нормативов расходов на обеспечение государственных гарантий реализации прав" (в редакции от 28.11.2018 № 101)</t>
  </si>
  <si>
    <t>Закон Томской области от 12.08.2013 N 149-ОЗ "Об образовании в Томской области"</t>
  </si>
  <si>
    <t>ст.23, ч. 2</t>
  </si>
  <si>
    <t>09.11.2018, не установлено</t>
  </si>
  <si>
    <t>Постановление Администрации Томской области от 25.10.2018 N 416а "Об утверждении Методики определения размера субвенций местным бюджетам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Томской области, обеспечение дополнительного образования детей в муниципальных общеобразовательных организациях в Томской области и определении нормативов расходов на обеспечение государственных гарантий реализации прав"</t>
  </si>
  <si>
    <t>Постановление Администрации Томской области от 24.10.2018 N 415а "Об утверждении Методики определения размера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 и определении нормативов расходов на обеспечение государственных гарантий реализации прав"</t>
  </si>
  <si>
    <t>ст.15, п. 1, п.п. 20</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</si>
  <si>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</si>
  <si>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1.6.1. по предоставлению дотаций на выравнивание бюджетной обеспеченности городских, сельских поселений, всего</t>
  </si>
  <si>
    <t>1.6.1.1.Муниципальные финансы</t>
  </si>
  <si>
    <t xml:space="preserve">Закон Томской области от 14.10.2005 N 191-ОЗ "ОО наделении органов местного самоуправления отдельными
государственными полномочиями по расчету и предоставлению дотаций
бюджетам городских, сельских поселений Томской области за счет средств областного бюджета" </t>
  </si>
  <si>
    <t>27.10.2005, не установлено</t>
  </si>
  <si>
    <t>01.01.2024-31.12.2029</t>
  </si>
  <si>
    <t>1.6.3.2.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</si>
  <si>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Закон Томской области от 15.09.2020 № 114-ОЗ "О наделении органов местного самоуправления муниципальных районов Томской области отдельными государственными полномочиями по расчету и предоставлению бюджетам поселений субвенций на осуществление первичного воинского учета органами местного самоуправления поселений и городских округов Томской области"</t>
  </si>
  <si>
    <t>Решение Думы Колпашевского района от 10.12.2020 № 34 "Об установлении целей, порядка и условий предоставления из бюджета муниципального образования "Колпашевский район" бюджетам поселений Колпашевского района субвенций на осуществление первичного воинского учета органами местного самоуправления поселений, муниципальных и городских округов" (в редакции от 30.01.2023 № 3)</t>
  </si>
  <si>
    <t>Постановление Администрации Томской области от 04.03.2009 № 40а "Об утверждении Порядка расходования местными бюджетами субвенций
из областного бюджета на осуществление государственных полномочий
по обеспечению жилыми помещениями детей-сирот и детей, оставшихся
без попечения родителей, а также лиц из их числа"</t>
  </si>
  <si>
    <t>12.03.2009, не установлен</t>
  </si>
  <si>
    <t>Решение Думы Колпашевского района от 25.01.2021 № 16 "О предоставлении субвенции бюджетам поселений Колпашевского района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а также детей-сирот и детей, оставшихся без попечения родителей, лиц из числа детей-сирот и детей, оставшихся без попечения родителей,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в случае, если их проживание в ранее занимаемых жилых помещениях признаётся невозможным,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(в редакции от 27.02.2023 № 20, от 29.01.2024 № 5)</t>
  </si>
  <si>
    <t>Решение Думы Колпашевского района от 29.07.2022 № 79 "О предоставлении субвенции бюджетам поселений Колпашевского района на 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лицам, указанным в пункте 7 статьи 15 Закона Томской области от 19 августа 1999 года № 28-ОЗ «О социальной поддержке детей-сирот и детей, оставшихся без попечения родителей, в Томской области», включенным в список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которые подлежат обеспечению жилыми помещениями, в соответствии с абзацем третьим части 3 статьи 3  Закона Томской области от 11 сентября 2007 г. № 188-ОЗ «О наделении органов местного самоуправления государственными полномочиями по обеспечению жилыми помещениями детей-сирот и детей, оставшихся без попечения родителей, лиц из их числа, а также по обеспечению иных дополнительных гарантий прав на жилое помещение лиц, которые ранее относились к указанной категории», при наличии совокупности обстоятельств, указанных в пункте 2 статьи 8.1 Федерального закона от 21 декабря 1996 г. № 159-ФЗ «О дополнительных гарантиях по социальной поддержке детей-сирот и детей, оставшихся без попечения родителей" (в редакции от 30.01.2023 № 6, от 27.01.2025 № 6)
Решение Думы Колпашевского района от 27.01.2025 № 5 "О предоставлении субвенции бюджетам поселений Колпашевского района на осуществление государственных полномочий по предоставлению единовременной выплаты на приобретение в собственность жилого помещения, удостоверяемой государственным жилищным свидетельством томской области, лицам, ранее относившимся к категории детей-сирот и детей, оставшихся без попечения родителей, проживающим на территории Томской области, не являющимся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в случае, если их проживание в ранее занимаемых жилых помещениях признается невозможным"</t>
  </si>
  <si>
    <t>Законом Томской области от 11.09.2007 № 188-ОЗ «О наделении органов местного самоуправления государственными полномочиями по обеспечению жилыми помещениями детей-сирот и детей, оставшихся без попечения родителей, лиц из их числа, а также по обеспечению иных дополнительных гарантий прав на жилое помещение лиц, которые ранее относились к указанной категории»</t>
  </si>
  <si>
    <t>1.6.4.2. в иных случаях, не связанных с заключением соглашений, предусмотренных в подпункте 1.6.4.1, всего</t>
  </si>
  <si>
    <t>1.6.4.1. 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</si>
  <si>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1.6.4.2.1. владение, пользование и распоряжение имуществом, находящимся в муниципальной собственности городского и сельского поселения</t>
  </si>
  <si>
    <t>1.6.4.1.1.1 Совершенствование системы муниципального управления в Колпашевском районе</t>
  </si>
  <si>
    <t>Постановление Администрации Колпашевского района от 24.12.2021 № 1520 "Об утверждении муниципальной программы "Развитие коммунальной инфраструктуры Колпашевского района" (в редакции от 01.02.2023 № 64, от 13.03.2023, от 16.03.2023 № 248, от 09.02.2024 № 124, от 11.04.2024 № 327, от 10.02.2025 № 105, от 10.02.2025 № 108)</t>
  </si>
  <si>
    <t>Постановление Администрации Томской области от 27.09.2019 № 346а «Об утверждении государственной программы «Развитие коммунальной инфраструктуры в Томской области»</t>
  </si>
  <si>
    <t>Решение Думы Колпашевского районат от 31.01.2020 № 3 "О порядке предоставления и распределения иных межбюджетных трансфертов из бюджета муниципального образования "Колпашевский район" бюджетам поселений Колпашевского района на компенсацию расходов по организации электроснабжения от дизельных электростанций" (в редакции от 10.12.2020 № 35, от 30.01.2023 № 2, от 15.12.2023 № 130, от 28.06.2024 № 64, от 24.02.2025 № 18)</t>
  </si>
  <si>
    <t>Прил.№ 14</t>
  </si>
  <si>
    <t>Прил. № 13</t>
  </si>
  <si>
    <t>Решение Думы Колпашевского района от 27.03.2025 № 42 "О предоставлении иных межбюджетных трансфертов из бюджета муниципального образования «Колпашевский район» бюджетам поселений, входящих в состав муниципального образования «Колпашевский район» на реализацию мероприятий по обеспечению доступа к воде питьевого качества"</t>
  </si>
  <si>
    <t>1.6.4.2.4.1.1. Развитие транспортной инфраструктуры в Колпашевском районе</t>
  </si>
  <si>
    <t>Решение Думы Колпашевского района от 28.10.2013 № 91 "О создании муниципального дорожного фонда муниципального образования "Колпашевский район" и утверждении положения о порядке формирования и использования бюджетных ассигнований муниципального дорожного фонда муниципального образования "Колпашевский район" (в редакции от 28.04.2014 № 38, от 18.12.2019 № 150, от 15.12.2023 № 134)</t>
  </si>
  <si>
    <t>Постановление Администрации Томской области от 20.09.2019 N 329а
"Об утверждении государственной программы "Эффективное управление региональными финансами, государственными закупками и совершенствование межбюджетных отношений в Томской области"</t>
  </si>
  <si>
    <t>подпр. № 4</t>
  </si>
  <si>
    <t>Постановление Администрации Томской области от 14.08.2020 г. N 402а "Об утверждении Правил предоставления и Методики распределения иных межбюджетных трансфертов на исполнение судебных актов по обеспечению жилыми помещениями детей-сирот и детей, оставшихся без попечения родителей, а также лиц из их числа"</t>
  </si>
  <si>
    <t xml:space="preserve">1.6.4.2.7. создание условий для предоставления транспортных услуг населению и организация транспортного обслуживания населения в границах городского и сельского поселения(в части водного транспорта) </t>
  </si>
  <si>
    <t>1.6.4.2.7.1.1. Развитие транспортной инфраструктуры в Колпашевском районе</t>
  </si>
  <si>
    <t>1.6.4.2.8.1.1. Развитие транспортной инфраструктуры в Колпашевском районе</t>
  </si>
  <si>
    <t>1.6.4.2.13. участие в предупреждении и ликвидации последствий чрезвычайных ситуаций в границах городского и сельского поселения</t>
  </si>
  <si>
    <t>Постановление Администрации Томской области от 27.02.2008 № 32а "Об утверждении Порядка использования бюджетных ассигнований резервного
фонда финансирования непредвиденных расходов Администрации
Томской области"</t>
  </si>
  <si>
    <t>(100 345)</t>
  </si>
  <si>
    <t>Прил.№4</t>
  </si>
  <si>
    <t>Постановление Администрации Колпашевского района от 05.02.2025 № 78 "Об установлении расходного обязательства муниципального образования «Колпашевский район», порядка и сроков расходования средств субсидии на приобретение оборудования для малобюджетных спортивных площадок по месту жительства и учебы в муниципальных образованиях Томской области, за исключением муниципального образования «Город Томск», муниципального образования «Городской округ закрытое административно-территориальное образование Северск Томской области», муниципального образования «Городской округ Стрежевой»</t>
  </si>
  <si>
    <t>Постановление Администрации Колпашевского района от 13.12.2023 № 1138 "Об утверждении муниципальной программы "Повышение уровня благоустройства в населённых пунктах Колпашевского района и качества окружающей среды в Колпашевском районе" (в редакции от 10.02.2025 № 107, от 25.02.2025 № 165)</t>
  </si>
  <si>
    <t>ПостановлениеАдминистрации Колпашевского района от 14.08.2020 № 862 "Об утверждении муниципальной программы "Комплексное развитие сельских территорий Колпашевского района Томской области" (от 27.01.2021 № 114, от 07.06.2021 № 671, от 28.01.2022 № 90, от 03.03.2022 № 280, от 28.04.2022 № 574, от 06.02.2023 № 83, от 16.03.2023 № 246, от 17.01.2024 № 32, от 16.02.2024 № 149, от 07.02.2025 № 95, от 19.03.2025 № 238)</t>
  </si>
  <si>
    <t xml:space="preserve">Решение Думы Колпашевского района от 27.03.2025 № 47 "О предоставлении иного межбюджетного трансферта бюджету муниципального образования "Колпашевское городское поселение" на выполнение работ по строительному контролю и авторскому надзору по объектам благоустройства наиболее посещаемых муниципальных территорий общественного пользования"
</t>
  </si>
  <si>
    <t>1.6.4.2.26.2.1. Резервные фонды исполнительного органа государственной власти субъекта Российской Федерации</t>
  </si>
  <si>
    <t>1.6.4.2.29.1.1. Повышение уровня благоустройства в населённых пунктах Колпашевского района и качества окружающей среды в Колпашевском районе</t>
  </si>
  <si>
    <t>Постановление Администрации Томской области от 25.09.2019 N 337а
"Об утверждении государственной программы "Жилье и городская среда Томской области"</t>
  </si>
  <si>
    <t>Подпр.№ 3 прил № 1</t>
  </si>
  <si>
    <t>п.4 подпр 4</t>
  </si>
  <si>
    <t>1.6.4.2.36. содействие в развитии сельскохозяйственного производства в сфере животноводства с учетом рыболовства и рыбоводства содействие в развитии сельскохозяйственного производства в сфере растениеводства</t>
  </si>
  <si>
    <t>Решение Думы Колпашевского района от 29.04.2013 № 36 "О порядке использования средств бюджета муниципального образования «Колпашевский район" на реализацию мероприятий, направленных на создание условий для развития сельскохозяйственного производства в поселениях, расширенре рынка сельскохозяйственной продукции, сырья, продовольствия" (в редакции от 27.11.2015 № 44, от 25.11.2019 № 124, от 26.08.2020 № 104, от 25.10.2021 № 138, от 29.01.2024 № 19)</t>
  </si>
  <si>
    <t>1.6.2.2.36.1. расходы в рамках программной деятельности</t>
  </si>
  <si>
    <t>1.6.2.36.1.1. Развитие сельскохозяйственного производства в Колпашевском районе</t>
  </si>
  <si>
    <t>п.п.6 п.5</t>
  </si>
  <si>
    <t>1.6.4.2.39.2.1. Резервные фонды исполнительного органа государственной власти субъекта Российской Федерации</t>
  </si>
  <si>
    <t>1.6.2.47.участие в соответствии с Федеральным законом от 24 июля 2007 г. № 221-ФЗ «О государственном кадастре недвижимости» в выполнении комплексных кадастровых работ</t>
  </si>
  <si>
    <t>1.6.4.2.39.1.1. Комплексное развитие сельских территорий Колпашевского района Томской области</t>
  </si>
  <si>
    <t>Постановление Администрации Колпашевского района от 14.08.2020 № 862 «Об утверждении муниципальной программы «Комплексное развитие сельских территорий Колпашевского района Томской области» (в редакции от 27.01.2021 № 114, от 07.06.2021 № 671, от 28.01.2022 № 90, от 03.03.2022 № 280, от 28.04.2022 № 574, от 06.02.2023 № 83, от 16.03.2023 № 246, от 17.01.2024 № 32, от 16.02.2024 № 149, от 07.02.2025 № 95, от 19.03.2025 № 238)</t>
  </si>
  <si>
    <t>1.6.4.2.48.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(непрограммное направление расходов)</t>
  </si>
  <si>
    <t>Постановление Администрации Колпашевского района от 15.12.2021 № 1484 "Об утверждении муниципальной программы "Развитие внутреннего и въездного туризма на территории Колпашевского района" (в редакции от 29.09.2022 № 1220, от 29.12.2022 № 1524, от 22.02.2023 № 154, от 09.02.2024 № 125, от 12.04.2024 № 336, от 17.01.2025 № 14, от 19.03.2025 № 241)</t>
  </si>
  <si>
    <t>Постановление Администрации Томской области от 27.09.2019 № 360а «Об утверждении государственной программы "Развитие предпринимательства и повышение эффективности государственного управления социально-экономическим развитием Томской области"</t>
  </si>
  <si>
    <t>Постановление Администрации Колпашевского района от 08.12.2023 № 1122 "Об утверждении муниципальной программы "Муниципальные финансы" (в редакции от 19.12.2024 № 1056, от 03.03.2025 № 109)</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</si>
  <si>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</si>
  <si>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(209 682)</t>
  </si>
  <si>
    <t>(209 685)</t>
  </si>
  <si>
    <t>(209 528)</t>
  </si>
  <si>
    <t>Федеральный закон от 27.07.2010 N 190-ФЗ
"О теплоснабжении"</t>
  </si>
  <si>
    <t>30.07.2010- не установлено</t>
  </si>
  <si>
    <t>ст.15, п.1, п.п.5</t>
  </si>
  <si>
    <t>01.01.2020- не указан</t>
  </si>
  <si>
    <t>Федеральный закон от 06.10.2003 № 131-ФЗ "Об общих принципах организации местного самоуправления"</t>
  </si>
  <si>
    <t>ст.15, п.1, п.п.6</t>
  </si>
  <si>
    <t>01.01.2020-не указан</t>
  </si>
  <si>
    <t>ст.15, п.1, п.п.6.1</t>
  </si>
  <si>
    <t>ст.15, п.1, п.п.6.2.</t>
  </si>
  <si>
    <t>ст.15, п.1, п.п.7</t>
  </si>
  <si>
    <t>ст. 24, ст. 11 п.2</t>
  </si>
  <si>
    <t>ст.11</t>
  </si>
  <si>
    <t>Постановление Администрации Томской области от 03.08.2023 N 358а
"Об утверждении Правил предоставления и Методики распределения иных межбюджетных трансфертов из областного бюджета местным бюджетам на финансовое обеспечение расходных обязательств муниципальных образований Томской области по оказанию помощи многодетным семьям, семьям, находящимся в трудной жизненной ситуации, в социально опасном положении, по приобретению, установке и обслуживанию автономных дымовых пожарных извещателей в жилых помещениях"</t>
  </si>
  <si>
    <t>14.08.2023- не установлен</t>
  </si>
  <si>
    <t>2) Федеральный закон от 29.12.2012 №273-ФЗ «Об образовании в Российской Федерации»</t>
  </si>
  <si>
    <t>01.09.2013-не указано</t>
  </si>
  <si>
    <t>Постановление Администрации Томской области от 27.09.2019 №357а «Об утверждении государственной программы "Обращение с отходами, в том числе с твердыми коммунальными отходами, на территории Томской области»</t>
  </si>
  <si>
    <t>01.01.2020 - не указан</t>
  </si>
  <si>
    <t>ст.15, п.1, п.п. 19</t>
  </si>
  <si>
    <t>ст. 24, ст 11 п. 2</t>
  </si>
  <si>
    <t>Закон Томской области от 11.11.2005 №206-ОЗ «О защите населения и территорий Томской области от чрезвычайных ситуаций природного и техногенного характера»</t>
  </si>
  <si>
    <t>04.12.2005 - не указан</t>
  </si>
  <si>
    <t xml:space="preserve">п.5 </t>
  </si>
  <si>
    <t>29.02.2008, не установлен</t>
  </si>
  <si>
    <t>01.01.2020- не установлен</t>
  </si>
  <si>
    <t>Закон Томской области от 11.11.2005 № 206-ОЗ «О защите населения и территорий Томской области от чрезвычайных ситуаций природного и техногенного характера»</t>
  </si>
  <si>
    <t>Подпр. № 1</t>
  </si>
  <si>
    <t>Федеральный закон от 04.12.2007 №329-ФЗ «О физической культуре и спорте в Российской Федерации»</t>
  </si>
  <si>
    <t xml:space="preserve">ст.9
</t>
  </si>
  <si>
    <t xml:space="preserve">30.03.2008 - не указан
</t>
  </si>
  <si>
    <t>17.06.2010, не установлен</t>
  </si>
  <si>
    <t>01.01.2020-не установлен</t>
  </si>
  <si>
    <t xml:space="preserve">ст.14.1,ч.1, п.13
</t>
  </si>
  <si>
    <t>31.01.2011, не установлен</t>
  </si>
  <si>
    <t>ст. 15 п. 1, 2</t>
  </si>
  <si>
    <t>02.01.1995-не установлен</t>
  </si>
  <si>
    <t>Закон Томской области от 09.10.1997 № 573 "О библиотечном деле и обязательном
экземпляре документов в Томской области"</t>
  </si>
  <si>
    <t>ст.14 п.1 пп.15</t>
  </si>
  <si>
    <t>Федеральный закон от 29.12.1994 №78-ФЗ «О библиотечном деле»</t>
  </si>
  <si>
    <t xml:space="preserve"> ст.15 п.2</t>
  </si>
  <si>
    <t>02.01.1995 - не указан</t>
  </si>
  <si>
    <t>Закон Томской области от 09.10.1997 № 573 "О библиотечном деле и обязательном экземпляре документов в Томской области"</t>
  </si>
  <si>
    <t>01.11.1997, не установлен</t>
  </si>
  <si>
    <t>Федеральный закон от 09.10.1992 №3612-1 «Основы законодательства Российской Федерации о культуре»</t>
  </si>
  <si>
    <t>17.11.1992 - не указан</t>
  </si>
  <si>
    <t>ст. 34 п. 9</t>
  </si>
  <si>
    <t>ст. 11,13</t>
  </si>
  <si>
    <t>ст. 17, п.1, п. п.9</t>
  </si>
  <si>
    <t xml:space="preserve"> ст. 89, п. 3</t>
  </si>
  <si>
    <t>19.01.2024-не установлен</t>
  </si>
  <si>
    <t>17.08.2007- не установлен</t>
  </si>
  <si>
    <t>ст. 11, 13</t>
  </si>
  <si>
    <t>30.05.2005, не установлен</t>
  </si>
  <si>
    <t>ст. 4, 33, 35</t>
  </si>
  <si>
    <t>ст. 17, п.1, п.п.9</t>
  </si>
  <si>
    <t>ст.17, п.1, п.п. 9, ст. 15.1</t>
  </si>
  <si>
    <t>ст.15, п. 1, п.п. 1</t>
  </si>
  <si>
    <t>01.01.2020- не указано</t>
  </si>
  <si>
    <t>Постановление Правительства Российской Федерации от 17.12.2010 №1050  «О реализации отдельных мероприятий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</si>
  <si>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31.01.2011 - не указан</t>
  </si>
  <si>
    <t>05.09.2004, не установлен</t>
  </si>
  <si>
    <t>ст.19 п. 5</t>
  </si>
  <si>
    <t>ст. 3, 4, п. 5</t>
  </si>
  <si>
    <t>08.10.2007, не установлен</t>
  </si>
  <si>
    <t>09.05.2006, не установлено</t>
  </si>
  <si>
    <t>25.03.2003, не установлено</t>
  </si>
  <si>
    <t>29.11.2026, не установлен</t>
  </si>
  <si>
    <t>25.01.2006, не установлен</t>
  </si>
  <si>
    <t>21.12.1996, не установлен</t>
  </si>
  <si>
    <t>ст. 16, 31</t>
  </si>
  <si>
    <t>28.04.2008, не установлен</t>
  </si>
  <si>
    <t xml:space="preserve">
03.02.2008 - не указан</t>
  </si>
  <si>
    <t xml:space="preserve">
 ст.4</t>
  </si>
  <si>
    <t>Закон Томской области от 28.12.2007 №298-ОЗ «О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t>
  </si>
  <si>
    <t>ст.15</t>
  </si>
  <si>
    <t xml:space="preserve">31.08.1999 - не указан
</t>
  </si>
  <si>
    <t xml:space="preserve"> ст.5
</t>
  </si>
  <si>
    <t xml:space="preserve">01.01.2005 - не указан
</t>
  </si>
  <si>
    <t>Закон Томской области от 15.12.2004 №247-ОЗ «О выплате денежных средств на содержание ребенка, находящегося под опекой (попечительством) либо в приемной семье, в Томской области»</t>
  </si>
  <si>
    <t>Закон Томской области от 19.08.1999 №28-ОЗ «О социальной поддержке детей-сирот и детей, оставшихся без попечения родителей в Томской области»</t>
  </si>
  <si>
    <t>Федеральный закон от 29.12.2012 N 273-ФЗ
"Об образовании в Российской Федерации"</t>
  </si>
  <si>
    <t>Федеральный закон от 29.12.2012 N 273-ФЗ
"Об образовании в Российской Федерации"</t>
  </si>
  <si>
    <t>02.04.1998, не установлен</t>
  </si>
  <si>
    <t>Федеральный закон от 28.03.1998 N 53-ФЗ
"О воинской обязанности и военной службе"</t>
  </si>
  <si>
    <t>Федеральный закон от 21.12.1996 N 159-ФЗ "О дополнительных гарантиях по социальной поддержке детей-сирот и детей, оставшихся без попечения родителей""</t>
  </si>
  <si>
    <t>Федеральный закон от 06.10.2003 №131-ФЗ «Об общих принципах организации местного самоуправления в Российской Федерации»</t>
  </si>
  <si>
    <t>ст.14 п.1 пп.3</t>
  </si>
  <si>
    <t>ст.14 п.1 пп.4</t>
  </si>
  <si>
    <t>ст.14 п.1 пп.5</t>
  </si>
  <si>
    <t>ст.14 п.1 пп.8</t>
  </si>
  <si>
    <t>ст.14 п.1 пп.6</t>
  </si>
  <si>
    <t>Федеральный закон от 21.12.1996 №159-ФЗ «О дополнительных гарантиях по социальной поддержке детей-сирот и детей, оставшихся без попечения родителей»</t>
  </si>
  <si>
    <t>21.12.1996 - не указан</t>
  </si>
  <si>
    <t>ст.14 п.1 пп.7</t>
  </si>
  <si>
    <t>Федеральный закон от 21.12.1994 №68-ФЗ «О защите населения и территорий от чрезвычайных ситуаций природного и техногенного характера»</t>
  </si>
  <si>
    <t>24.12.1994 - не указан</t>
  </si>
  <si>
    <t>ст.14 п.1 пп.9</t>
  </si>
  <si>
    <t>01.01.2020 - не установлен</t>
  </si>
  <si>
    <t>Закон Томской области от 13.12.2006 №314-ОЗ «О предоставлении субсидий местным бюджетам на обеспечение условий для развития физической культуры и массового спорта»</t>
  </si>
  <si>
    <t>ст.1</t>
  </si>
  <si>
    <t>01.01.2007 - не указан</t>
  </si>
  <si>
    <t xml:space="preserve">Федеральный Закон от 06.10.2003 № 131-ФЗ "Об общих принципах организации местного самоуправления"
</t>
  </si>
  <si>
    <t>Ст. 15, п.1, пп.26</t>
  </si>
  <si>
    <t>Постановление Администрации Томской области от 25.09.2019 №337а «Об утверждении государственной программы "Жилье и городская среда Томской области"»</t>
  </si>
  <si>
    <t>Ст. 14, п.1, пп.18</t>
  </si>
  <si>
    <t>Ст. 14, п.1, пп.19</t>
  </si>
  <si>
    <t>Ст. 14, п.1, пп.20</t>
  </si>
  <si>
    <t>Ст. 14, п.1, пп.22</t>
  </si>
  <si>
    <t>Ст. 14, п.1, пп.28</t>
  </si>
  <si>
    <t>Ст. 15, п.1, пп.27</t>
  </si>
  <si>
    <t>Федеральный закон от 24.07.2007 №221-ФЗ «О кадастровой деятельности»</t>
  </si>
  <si>
    <t>24.07.2007 - не указан</t>
  </si>
  <si>
    <t>Ст. 15.1, п.1, пп.8</t>
  </si>
  <si>
    <t>Ст. 14, п.1, пп.1</t>
  </si>
  <si>
    <t>Закон Томской области от 13.08.2007 №170-ОЗ «О межбюджетных отношениях в Томской области»</t>
  </si>
  <si>
    <t>ст.14</t>
  </si>
  <si>
    <t>01.01.2008 - не указан</t>
  </si>
  <si>
    <t>Подпр. №1 пррил № 19</t>
  </si>
  <si>
    <t>01.01.2020 - не установлено</t>
  </si>
  <si>
    <t>Постановление Администрации Колпашевского района от 25.01.2022 № 81 "О порядке и сроках расходования средств иного межбюджетного трансферта на выплату ежемесячного денежного вознаграждения за классное руководство педагогическим работникам муниципальных общеобразовательных организаций и об утверждении Порядка определения объёма и условий предоставления субсидий из средств бюджета муниципального образования "Колпашевский район" муниципальным бюджетным общеобразовательным организациям и муниципальным автономным общеобразовательным организациям на выплату ежемесячного денежного вознаграждения за классное руководство педагогическим работникам муниципальных общеобразовательных организаций" (в редакции от 14.04.2022 № 484, от 27.03.2023 № 289, от 15.02.2024 № 142, от 24.04.2024 № 365, от 09.09.2024 № 781, от 10.02.2025 № 99)</t>
  </si>
  <si>
    <t>25.01.2022-не установлен</t>
  </si>
  <si>
    <t>Постановление Администрации Томской области от 06.07.2020 г. N 317а "Об установлении Правил предоставления и методики распределения иных межбюджетных трансфертов из областного бюджета местным бюджетам на выплату ежемесячного денежного вознаграждения за классное руководство педагогическим работникам муниципальных общеобразовательных организаций"</t>
  </si>
  <si>
    <t>21.07.2020-не установен</t>
  </si>
  <si>
    <t>Постановление Администрации Томской области от 19.08.2024 № 353а «Об установлении ежемесячного денежного вознаграждения советникам директоров по воспитанию и взаимодействию с детскими общественными объединениями областных государственных и муниципальных общеобразовательных организаций, областных государственных профессиональных образовательных организаций»</t>
  </si>
  <si>
    <t>01.09.2024- 31.12.2027</t>
  </si>
  <si>
    <t>01.01.2025- не установлен</t>
  </si>
  <si>
    <t>Постановление Губернатора Томской области от 10.02.2012 № 13 "Об учреждении ежемесячной стипендии Губернатора Томской области молодым учителям областных государственных и муниципальных образовательных организаций Томской области"</t>
  </si>
  <si>
    <t>Постановление Администрации Томской области от 24.06.2014 № 243а "Об установлении Правил предоставления и методики распределения иных межбюджетных трансфертов на достижение целевых показателей по Плану мероприятий ("дорожной карте") "Изменения в сфере образования в Томской области" в части повышения заработной платы педагогических работников муниципальных общеобразовательных организаций"</t>
  </si>
  <si>
    <t>11.07.2014-не установлен</t>
  </si>
  <si>
    <t xml:space="preserve">Закон Томской области от 28.12.2010 № 336-ОЗ "О предоставлении межбюджетных трансфертов" </t>
  </si>
  <si>
    <t>Подпр. № 1 прил № 8</t>
  </si>
  <si>
    <t>Подпр.№ 1 прил. № 8</t>
  </si>
  <si>
    <t>01.01.2020- не  установлен</t>
  </si>
  <si>
    <t>25.01.2022-не устанволен</t>
  </si>
  <si>
    <t>прил. 6</t>
  </si>
  <si>
    <t>Прил. 4</t>
  </si>
  <si>
    <t>Подпр. № 4 прил. №5</t>
  </si>
  <si>
    <t>Подпр. № 4 прил. №2</t>
  </si>
  <si>
    <t>11.05.2022- не установлен</t>
  </si>
  <si>
    <t>Подпр № 2
прил. 9</t>
  </si>
  <si>
    <t xml:space="preserve">01.01.2025- не установлен </t>
  </si>
  <si>
    <t>Прил.9</t>
  </si>
  <si>
    <t>03.03.2025, не установлен</t>
  </si>
  <si>
    <t>Подпр.1 прил 9</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</si>
  <si>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организация предоставления дополнительного образования взрослых по дополнительным образовательным программам спортивной подготовки в муниципальных образовательных организациях</t>
  </si>
  <si>
    <t xml:space="preserve">  в целом</t>
  </si>
  <si>
    <t>Решение Думы Колпашевского района от 15.12.2023 № 131 "Об утверждении Положения о финансировании дополнительного образования детей в муниципальных организациях дополнительного образования муниципального образования "Колпашевского район" и признании утратившими силу отдельных решений Думы Колпашевского района"</t>
  </si>
  <si>
    <t>15.12.2023, не установлен</t>
  </si>
  <si>
    <t>06.04.2022- не установлен</t>
  </si>
  <si>
    <t>подпр. 1 прил. 4</t>
  </si>
  <si>
    <t xml:space="preserve">подпр.1 прил.2 </t>
  </si>
  <si>
    <t>1828 (311 563) (311 582) (311 552)
(311 537)</t>
  </si>
  <si>
    <t xml:space="preserve">(311 564) (311 565) (311 628) (311 540) </t>
  </si>
  <si>
    <t>1.4.2.98. Осуществление полномочий по предметам ведения Российской Федерации, а также совместного ведения по решению вопросов, не указанных в части 1 статьи 44 Федерального закона Федеральный закон от 21.12.2021 N 414-ФЗ "Об общих принципах организации публичной власти в субъектах Российской Федерации" (прочие, не указанные в иных кодах строк)</t>
  </si>
  <si>
    <t>Постановление Главы Колпашевского района от 23.04.2025 № 51 "О порядке и сроках расходования бюджетных ассигнований резервного фонда Финансирования непредвиденных расходов Администрации Томской области.</t>
  </si>
  <si>
    <t>23.04.2025-31.12.2025</t>
  </si>
  <si>
    <t>01.04.2025-31.12.2025</t>
  </si>
  <si>
    <t>(208 624)</t>
  </si>
  <si>
    <t>(208 625)</t>
  </si>
  <si>
    <t xml:space="preserve">Постановление Администрации Колпашевского района от 16.05.2025 № 398 "Об установлении расходного обязательства муниципального образования «Колпашевский район», порядка и срока расходования субсидии местным бюджетам на оснащение объектов спортивной инфраструктуры спортивнотехнологическим оборудованием" </t>
  </si>
  <si>
    <t>16.05.2025-31.12.2026</t>
  </si>
  <si>
    <t>01.01.2020- не установлено</t>
  </si>
  <si>
    <t>Решение Думы Колпашевского района от 26.05.2025 № 71 "О предоставлении иного межбюджетного трансферта бюджету муниципального образования «Колпашевское городское поселение» на участие в профилактике терроризма и экстремизма"</t>
  </si>
  <si>
    <t>27.05.2025- 20.12.2025</t>
  </si>
  <si>
    <t>1.6.4.2.11.1 ИМБТ на участие в профилактике терроризма и экстремизма</t>
  </si>
  <si>
    <t>(100 346)</t>
  </si>
  <si>
    <t>ст.14 п.1 пп.7.1</t>
  </si>
  <si>
    <t>Решение Думы Колпашевского района от 29.04.2025 № 61 "О предоставлении иных межбюджетных трансфертов бюджетам муниципальных образований Колпашевского района на проведение работ по обновлению и созданию минерализованных полос вокруг населенных пунктов"</t>
  </si>
  <si>
    <t>29.04.2025-20.12.2025</t>
  </si>
  <si>
    <t>1.6.4.2.39.1.2. Региональный проект "Россия - страна возможностей</t>
  </si>
  <si>
    <t>Решение Думы Колпашевского района от 26.05.2025 № 66 "О предоставлении иного межбюджетного трансферта бюджету муниципального образования «Колпашевское городское поселение» на реализацию программы комплексного развития молодежной политики в регионах Российской Федерации «Регион для молодых» в рамках регионального проекта «Россия – страна возможностей»"</t>
  </si>
  <si>
    <t>27.05.2025-20.12.2025</t>
  </si>
  <si>
    <t>29.04.2025-31.12.2025</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</si>
  <si>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</si>
  <si>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2107 (311 552) (311 563) (311 582) (311 537)</t>
  </si>
  <si>
    <t xml:space="preserve">Проект постановления Администрации Колпашевского района от 12.05.2025 № 374 "Об установлении расходного обязательства муниципального образования «Колпашевский район», порядка и срока расходования субсидии местным бюджетам на реализацию программы комплексного развития молодёжной политики в регионах Российской Федерации «Регион для молодых» в рамках регионального проекта «Россия - страна возможностей» в 2025 году" </t>
  </si>
  <si>
    <t>12.05.2025-31.12.2025</t>
  </si>
  <si>
    <t xml:space="preserve">Постановление Администрации Колпашевского района от 20.05.2025 № 409 "Об установлении расходного обязательства бюджета муниципального образования «Колпашевский район», порядка и срока расходования иного межбюджетного трансферта из областного бюджета бюджету муниципального образования «Колпашевский район» на финансовое обеспечение расходных обязательств по оказанию помощи многодетным семьям, семьям, находящимся в трудной жизненной ситуации, в социально опасном положении, по приобретению, установке и обслуживанию автономных дымовых пожарных извещателей в жилых помещениях" </t>
  </si>
  <si>
    <t>Решение Думы Колпашевского района от 24.02.2025 № 28 "О предоставлении иных межбюджетных трансфертов бюджетам поселений Колпашевского района  на оказание финансовой поддержки поселениям Колпашевского района в целях обеспечения условий для развития физической культуры и массового спорта" (в редакции от 27.03.2025 № 41, от 29.04.2025 № 53)</t>
  </si>
  <si>
    <t>Постановление Администрации Колпашевского района от 20.06.2025 № 472 «О порядке и сроке расходования средств субсидии из областного бюджета на софинансирование расходов на развитие и обеспечение деятельности муниципальных бизнес-инкубаторов, предусмотренных в муниципальных программах (подпрограммах), содержащих мероприятия, направленные на развитие малого и среднего предпринимательства»</t>
  </si>
  <si>
    <t>20.06.2025-31.12.2025</t>
  </si>
  <si>
    <t>Решение Думы Колпашевского района от 27.03.2025 № 40 "О предоставлении иного межбюджетного трансферта бюджету муниципального образования "Инкинское сельское поселение" на монтаж комбинированной спортивной площадки для баскетбола и волейбола по адресу: Томская область, Колпашевский район, с.Инкино, ул.Советская, 15" (в редакции от 23.06.2025 № 75)</t>
  </si>
  <si>
    <t>(409 626)</t>
  </si>
  <si>
    <t>Постановление Администрации Колпашевского района от 18.09.2018 № 994 "Об утверждении порядка компенсации расходов по оплате найма жилого помещения" (в редакции от 27.06.2019 № 685, от 20.08.2021 № 1018, от 02.11.2023 № 1004)</t>
  </si>
  <si>
    <t>Постановление Администрации Колпашевского района от 27.06.2025 № 497 "Об установлении порядка и срока расходования иного межбюджетного трансферта из областного бюджета местным бюджетам на предоставление меры материального стимулирования гражданам, заключившим с органом местного самоуправления, отраслевым (функциональным) органом местной администрации, обладающим правами юридического лица, или муниципальной образовательной организацией договор о целевом обучении по образовательной программе высшего образования в пределах квоты приёма на целевое обучение за счёт бюджетных ассигнований федерального бюджета, предусматривающий обязательство гражданина по осуществлению после завершения освоения образовательной программы высшего образования в течение срока, установленного договором о целевом обучении, трудовой деятельности в муниципальной образовательной организации на должности педагогического работника в соответствии с полученной квалификацией"</t>
  </si>
  <si>
    <t>Постановление Администрации Томской области от 07.05.2025 № 200а «Об установлении Правил предоставления и методикой распределения иных межбюджетных трансфертов на предоставление меры материального стимулирования гражданам, заключившим с органом местного самоуправления, отраслевым (функциональным) органом местной администрации, обладающим правами юридического лица, или муниципальной образовательной организацией договор о целевом обучении по образовательной программе высшего образования в пределах квоты приёма на целевое обучение за счёт бюджетных ассигнований федерального бюджета, предусматривающий обязательство гражданина                  по осуществлению после завершения освоения образовательной программы высшего образования в течение срока, установленного договором о целевом обучении, трудовой деятельности в муниципальной образовательной организации на должности педагогического работника в соответствии с полученной квалификацией»</t>
  </si>
  <si>
    <t>Постановление Администрации Колпашевского района от 22.11.2018 № 1261 "Об утверждении Порядка организации регулярных перевозок автомобильным транспортом в границах одного сельского поселения, в границах двух и более поселений муниципального образования "Колпашевский район" (в редакции от 16.06.2025 № 458)</t>
  </si>
  <si>
    <t>прил. № 4 подпр.1</t>
  </si>
  <si>
    <t>Постановление Администрации Колпашевского района от 24.06.2025 № 485 "Об установлении расходного обязательства муниципального образования «Колпашевский район», порядка и срока расходования субсидии на обеспечение уровня финансирования организаций, реализующих дополнительные образовательные программы спортивной подготовки, в соответствии с требованиями федеральных стандартов спортивной подготовки"</t>
  </si>
  <si>
    <t>Постановление Администрации Колпашевского района от 01.02.2024 № 98 "О порядке и сроках расходования средств субсидии на реализацию мероприятий по модернизации школьных систем образования (проведение капитального ремонта зданий (обособленных помещений) муниципальных общеобразовательных организаций)" (в редакции от 11.03.2024 № 214, 21.01.2025 № 30, от 21.01.2025 № 30, от 27.06.2025 № 496)</t>
  </si>
  <si>
    <r>
      <t>наименование, номер и дата</t>
    </r>
    <r>
      <rPr>
        <b/>
        <sz val="9"/>
        <color theme="1"/>
        <rFont val="Times New Roman"/>
        <family val="1"/>
        <charset val="204"/>
      </rPr>
      <t xml:space="preserve">
</t>
    </r>
  </si>
  <si>
    <t>Постановление Администрации Колпашевского района от 02.02.2023 № 73 "О финансировании мероприятия по оказанию помощи в ремонте и (или) переустройстве жилых помещений граждан, не стоящих на учёте в качестве нуждающихся в улучшении жилищных условий, и не реализовавших своё право на улучшение жилищных условий за счёт средств федерального и областного бюджетов в 2009 и последующих годах, из числа: участников и инвалидов Великой Отечественной войны 1941-1945 годов; тружеников тыла военных лет; лиц, награждённых знаком "Жителю блокадного Ленинграда"; лиц, награжденных знаком "Житель осажденного Севастополя"; бывших несовершеннолетних узников концлагерей; вдов погибших (умерших) участников Великой Отечественной войны 1941-1945 годов, не вступивших в повторный брак" (в редакции от 29.01.2024 № 79, от 17.01.2025 № 24)</t>
  </si>
  <si>
    <t>1805
(306 667)
(306 668)
(306 589) (306 669)</t>
  </si>
  <si>
    <t>(309 701)
(309 568)</t>
  </si>
  <si>
    <r>
      <rPr>
        <b/>
        <sz val="9"/>
        <color theme="1"/>
        <rFont val="Times New Roman"/>
        <family val="1"/>
        <charset val="204"/>
      </rPr>
      <t xml:space="preserve">2001 </t>
    </r>
    <r>
      <rPr>
        <sz val="9"/>
        <color theme="1"/>
        <rFont val="Times New Roman"/>
        <family val="1"/>
        <charset val="204"/>
      </rPr>
      <t>(309 569, 309 588)</t>
    </r>
  </si>
  <si>
    <r>
      <rPr>
        <b/>
        <sz val="9"/>
        <color theme="1"/>
        <rFont val="Times New Roman"/>
        <family val="1"/>
        <charset val="204"/>
      </rPr>
      <t xml:space="preserve">2002 </t>
    </r>
    <r>
      <rPr>
        <sz val="9"/>
        <color theme="1"/>
        <rFont val="Times New Roman"/>
        <family val="1"/>
        <charset val="204"/>
      </rPr>
      <t>(309 569, 309 588)</t>
    </r>
  </si>
  <si>
    <r>
      <rPr>
        <b/>
        <sz val="9"/>
        <color theme="1"/>
        <rFont val="Times New Roman"/>
        <family val="1"/>
        <charset val="204"/>
      </rPr>
      <t xml:space="preserve">2003 </t>
    </r>
    <r>
      <rPr>
        <sz val="9"/>
        <color theme="1"/>
        <rFont val="Times New Roman"/>
        <family val="1"/>
        <charset val="204"/>
      </rPr>
      <t xml:space="preserve"> (309 592)</t>
    </r>
  </si>
  <si>
    <t>Постановление Администрации Колпашевского района от 30.07.2025 № 588 "Об установлении расходного обязательства муниципального образования «Колпашевский район», порядка и срока расходования средств субсидий на софинансирование расходных обязательств, возникающих в связи с реализацией проектов, отобранных по итогам проведения конкурса проектов детского и социального туризма в Томской области, на 2025 год"</t>
  </si>
  <si>
    <t>30.07.2025-31.12.2025</t>
  </si>
  <si>
    <t>22.07.2025-31.12.2025</t>
  </si>
  <si>
    <t>(414 530)</t>
  </si>
  <si>
    <t>Решение Думы Колпашевского района от 25.11.2024 № 136 "О предоставлении иного межбюджетного трансферта на осуществление дорожной деятельности в отношении автомобильных дорог общего пользования местного значения в границах населенных пунктов Колпашевского района" (в редакции от 27.03.2025 № 43, от 29.04.2025 № 57, от 23.06.20255 № 78, от 28.07.2025 № 88)</t>
  </si>
  <si>
    <t>(203 697)</t>
  </si>
  <si>
    <t>Постановление Администрации Колпашевского района от 14.02.2025 № 123 "Об утверждении порядка предоставления из бюджета муниципального образования «Колпашевский район» субсидии на развитие и обеспечение деятельности муниципального бизнес-инкубатора" (в редакции от 21.07.2025 № 561)</t>
  </si>
  <si>
    <t>Постановление Администрации Колпашевского района от 22.07.2025 № 576 "Об утверждении порядка предоставления субсидии субъектам малого и среднего предпринимательства в целях возмещения части затрат в связи с приобретением в собственность основных средств, связанных с производством товаров, выполнением работ, оказанием услуг"</t>
  </si>
  <si>
    <t>22.07.2025-не установлен</t>
  </si>
  <si>
    <t>(203 550)</t>
  </si>
  <si>
    <t>Решение Думы Колпашевского района от 28.07.2025 № 84 О предоставлении иного межбюджетного трансферта бюджету муниципального образования "Колпашевское городское поселение" на реализацию проекта, отобранного по итогам проведения конкурса проектов и направленного на создание условий для развития туризма и туристической инфраструктуры в Томской области""</t>
  </si>
  <si>
    <t>28.07.2025-10.12.2025</t>
  </si>
  <si>
    <t>Решение Думы Колпашевского района от 28.07.2025 № 90 "О предоставлении иного межбюджетного трансферта бюджету муниципального образования "Колпашевское городское поселение" на проведение капитальных ремонтов объектов коммунальной инфраструктуры в целях подготовки хозяйственного комплекса Колпашевского городского поселения к безаварийному прохождению отопительного сезона"</t>
  </si>
  <si>
    <t>28.07.2025-не установлен</t>
  </si>
  <si>
    <t>Постановление Главы Колпашевского района от 30.07.2025 № 86 "О порядке и сроках расходования бюджетных ассигнований резервного фонда финансирования непредвиденных расходов Администрации Томской области"</t>
  </si>
  <si>
    <t xml:space="preserve">1899.49.8
(309 511)
(309 512) (309 701) </t>
  </si>
  <si>
    <t>1838 (311 571)</t>
  </si>
  <si>
    <t>Решение Думы Колпашевского района от 27.01.2025 № 16 "О предоставлении иных межбюджетных трансфертов бюджетам поселений Колпашевского района на доставку и установку оборудования для малобюджетных спортивных площадок по месту жительства и учёбы" (в редакции от 28.07.2025 № 83)</t>
  </si>
  <si>
    <t>Постановление Администрации Колпашевского района от 14.03.2025 № 231 "О средствах бюджета муниципального образования «Колпашевский район», направляемых на организацию транспортного обслуживания населения внутренним водным транспортом в границах Колпашевского района и порядке и сроке расходования субсидии из областного бюджета бюджету муниципального образования «Колпашевский район» на организацию транспортного обслуживания населения внутренним водным транспортом в границах муниципальных районов" (в редакции от 11.04.2025 № 314)</t>
  </si>
  <si>
    <t>17.03.2014, не установлен</t>
  </si>
  <si>
    <t>Постановление Администрации Колпашевского района от 30.12.2021 № 1559 "Об утверждении муниципальной программы "Обеспечение безопасности населения Колпашевского района" (в редакции от 18.05.2022 № 665, от 06.02.2023 № 84, от 20.03.2023 № 265, от 09.02.2024 № 123, от 29.03.2024 № 300, от 10.09.2024 № 788, от 10.02.2025 № 104, от 11.04.2025 № 317, от 08.08.2025 № 623)</t>
  </si>
  <si>
    <t>Постановление Администрации Колпашевского района от 30.12.2021 № 1559 "Об утверждении муниципальной программы "Обеспечение безопасности населения Колпашевского района" (в редакции от 18.05.2022 № 665, от 06.02.2023 № 84, от 20.03.2023 № 265, от 09.02.2024 № 123, от 29.03.2024 № 300, от 10.09.2024 № 788, от 10.02.2025 №104, от 11.04.2025 № 317, от 08.08.2025 № 623)</t>
  </si>
  <si>
    <t>Постановление Администрации Колпашевского района от 30.12.2021 № 1559 "Об утверждении муниципальной программы "Обеспечение безопасности населения Колпашевского района" (в редакции 18.05.2022 № 665, от 06.02.2023 № 84, от 20.03.2023 № 265, от 09.02.2024 № 123, от 29.03.2024 № 300, от 10.09.2024 № 788, от 10.02.2025 № 104, от 11.04.2025 № 317, от 08.08.2025 № 623)</t>
  </si>
  <si>
    <t>Постановление Администрации Колпашевского района от 30.12.2021 № 1559 "Об утверждении муниципальной программы "Обеспечение безопасности населения Колпашевского района" (в редакции от 18.05.2022 № 665, от 06.02.2023 № 84, от 20.03.2023 № 265, от 09.02.2024 № 123, от 29.03.2024 № 300, от 10.09.2024 № 788,  от 10.02.2025 №104, от 11.04.2025 № 317, от 08.08.2025 № 623)</t>
  </si>
  <si>
    <t>20.05.2025- 27.12.2025</t>
  </si>
  <si>
    <t>Постановление Администрации Колпашевского района от 15.12.2021 № 1489 "Об утверждении муниципальной программы "Развитие муниципальной системы образования Колпашевского района" (в редакции от 16.03.2022 № 356, от 18.11.2022 № 1381, от 30.12.2022 № 1532, от 27.03.2023 № 287, от 04.05.2023 № 394, от 15.11.2023 № 1045, от 27.02.2024 № 177, от 26.03.2024 № 272, от 25.10.2024 № 916, от 28.02.2025 № 187, от 31.03.2025 № 288, от 08.04.2025 № 308, от 05.05.25 № 365, от 23.06.2025 № 474)</t>
  </si>
  <si>
    <t>Постановление Администрации Колпашевского района от 15.12.2021 № 1489 "Об утверждении муниципальной программы "Развитие муниципальной системы образования Колпашевского района" (в редакции от 16.03.2022 № 356, от 18.11.2022 № 1381, от 30.12.2022 № 1532, от 27.03.2023 № 287, от 04.05.2023 № 394, от 15.11.2023 № 1045,             от 27.02.2024 № 177, от 26.03.2024 № 272, от 25.10.2024 № 916, от 28.02.2025 № 187, от 31.03.2025 № 288, от 08.04.2025 № 308, от 05.05.25 № 365, от 23.06.2025 № 474)</t>
  </si>
  <si>
    <t>Решение Думы Колпашевского района от 27.11.2015 № 37 «О финансировании расходов на создание условий, обеспечивающих приток педагогических кадров в муниципальную систему образования Колпашевского района» (в редакции от 31.05.2018 № 34, от 28.08.2018 № 65, от 24.04.2019 № 38, от 28.06.2024 № 66, от 28.08.2025 № 92)</t>
  </si>
  <si>
    <t>Решение Думы Колпашевского района от 27.11.2015 № 37 "О финансировании расходов  на создание условий, обеспечивающих приток педагогических кадров в муниципальную систему образования Колпашевского района" (в редакции от 31.05.2018 № 34, от 28.08.2018 № 65, от 24.04.2019 № 38, от 28.06.2024 № 66, от 28.08.2025 № 92)</t>
  </si>
  <si>
    <t>Постановление Адми нистрации Колпашевского района от 14.03.2016 № 252 "Об утверждении Порядка предоставления мер социальной поддержки, предусмотренных решением Думы Колпашевского района от 27.11.2015 № 37" (в редакции от 06.12.2016 № 1330, от 27.03.2017 № 259, от 17.10.2018 № 1116, от 28.01.2020 № 70, от 21.05.2021 № 611, от 20.08.2021 № 1019, от 28.11.2024 № 998, от 24.06.2025 № 483)</t>
  </si>
  <si>
    <t>Постановление Администрации Колпашевского района от 21.03.2023 № 279 "О порядке расходования средств субсидии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</si>
  <si>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Постановление Администрации Колпашевского района от 03.03.2025 № 188 " Об установлении расходного обязательства муниципального образования "Колпашевский район", порядка и срока расходования субсидии на реализацию мероприятий по модернизации школьных систем образования (оснащение отремонтированных зданий и (или) помещений муниципальных общеобразовательных организаций современными средствами обучения и воспитания) в рамках регионального проекта "Все лучшее детям"</t>
  </si>
  <si>
    <t>Постановление Администрации Колпашевского района от 13.02.2025 № 120 "Об установлении расходного обязательства муниципального образования "Колпашевский район", порядка и срока расходования субсидии на повышение квалификации школьных команд муниципальных общеобразовательных организаций"</t>
  </si>
  <si>
    <t>Постановление Администрации Колпашевского района от 18.07.2019 № 772 "Об утверждении Положения об организации отдыха детей в каникулярное время на территории муниципального образования "Колпашевский район" (в редакции от 15.07.2021 № 875, от 28.05.2025 № 421)</t>
  </si>
  <si>
    <t>Постановление Администрации Колпашевского района от 27.12.2021 № 1531 "Об утверждении муниципальной программы "Развитие молодёжной политики, физической культуры и массового спорта на территории муниципального образования "Колпашевский район" (в редакции от 25.04.2022 № 549, от 29.12.2022 № 1523, от 29.03.2023 № 299, от 04.08.2023 № 692, от 07.02.2024 № 121, от 12.04.2024 № 335, от 03.06.2024 № 458, от 05.02.2025 № 80, от 26.03.2025 № 259, от 08.07.2025 № 530)</t>
  </si>
  <si>
    <t>Постановление Администрации Колпашевского района от 27.12.2021 № 1531 "Об утверждении муниципальной программы "Развитие молодёжной политики, физической культуры и массового спорта на территории муниципального образования "Колпашевский район" (в редакции от 25.04.2022 № 549, от 29.12.2022 № 1523, от 29.03.2023 № 299, от 04.08.2023 № 692, от 07.02.2024 № 121, от 12.04.2024 № 335, от 03.06.2024 № 458, от 05.02.2025, от 26.03.2025 № 259, от 08.07.2025 № 530)</t>
  </si>
  <si>
    <t>27.01.2025- 31.12.2025</t>
  </si>
  <si>
    <t>Постановление Администрации Колпашевского района от 23.05.2012 № 496 "Об утверждении Порядка финансирования официальных физкультурно-оздоровительных и спортивных мероприятий муниципального образования "Колпашевский район" (в редакции постановлений Администрации Колпашевского района от 23.07.2012 № 702, от 31.08.2012 № 859, от 28.03.2013 № 292, от 03.07.2013 № 632, от 18.07.2013 № 711, от 23.08.2013 № 866, от 16.09. 2013 № 974, от 25.10.2013 № 1138, от 06.02.2014 №104, от 23.06.2014 № 585; от 06.10.2014 № 1145; от 04.03.2015 № 268; от 14.04.2015 № 407, от 12.11.2015 № 1147, от 12.04.2016 №372, от 10.08.2016 № 888, от 21.06.2017 № 584, от 05.04.2018 № 294, от 21.08.2019 № 945, от 26.06.2023 № 573, от 24.11.2023 №1073, от 08.08.2025 № 614)</t>
  </si>
  <si>
    <t>Постановление Администрации Колпашевского района от 12.12.2024 № 1038 "О порядке использования иного межбюджетного трансферта из областного бюджета местным бюджетам на поощрение муниципальных управленческих команд в 2024 году"</t>
  </si>
  <si>
    <t>13.12.2024- 31.12.2024</t>
  </si>
  <si>
    <t xml:space="preserve">13.12.2024- 31.12.2024
</t>
  </si>
  <si>
    <t xml:space="preserve">Решение Думы Колпашевского района от 10.12.2008 № 580 "Об утверждении Положения об оплате труда и ежегодных основных оплачиваемых отпусках работников органов местного самоуправления Колпашевского района и работников органов Администрации Колпашевского района" (в редакции от 17.06.2010 № 853, от 14.02.2011 № 18, от 20.06.2011 № 61, от 06.07.2011 № 77, от 30.09.2011 № 112, от 23.04.2012 № 47, от 24.05.2012 № 87, от 10.09.2012 № 124, от 19.11.2012 № 144, от 27.03.2013 № 28, от 16.07.2013 № 63, от 30.01.2014 № 13, от 15.12.2014 № 164, от 25.03.2015 № 23, от 24.08.2016 № 71, от 16.02.2017 № 6, от 30.05.2017 № 45, от 29.09.2017 № 87, от 25.01.2018 № 1, от 24.04.2019 № 40, от 25.11.2019 № 122, от 23.11.2020 № 18, от 31.05.2021 № 54, от 28.06.2022 № 63, от 18.07.2022 № 75, от 27.02.2023 № 19, от 28.07.2023 № 68, от 19.09.2023 № 94, от 30.10.2023 № 108, от 29.01.2024 № 3, от 30.09.2024 № 102, от 27.01.2025 № 3)
</t>
  </si>
  <si>
    <t>Решение Думы Колпашевского района от 31.05.2006 № 154 "Об учреждении Управления образования Администрации Колпашевского района и утверждении Положения об Управлении образования Администрации Колпашевского района" (в редакции от 31.10.2006 № 221, от 14.02.2011 № 2, от 20.06.2011 № 58, от 30.01.2014 № 4, от 29.05.2015 № 45,от 02.11.2015 № 7, от 30.05.2017 № 40, от 27.03.2025 № 39)</t>
  </si>
  <si>
    <t>Постановление Администрации Колпашевского района от 22.07.2025 № 574 "О порядке и сроке расходования средств субсидии на софинансирование расходных обязательств, возникающих в связи с реализацией проектов, отобранных по итогам проведения конкурса проектов и направленных на создание условий для развития туризма и туристической инфраструктуры в Томской области, на 2025 год" (в редакции от 08.08.2025 № 613)</t>
  </si>
  <si>
    <t>Постановление Администрации Колпашевского района от 27.01.2021 № 99 "Об утверждении муниципальной программы "Укрепление общественного здоровья населения Колпашевского района" (в редакции от 13.04.2022 № 471, от 07.02.2023 № 96, от 16.02.2024 № 151, от 10.02.2025 № 100, от 08.07.2025 № 526)</t>
  </si>
  <si>
    <t>Решение Думы Колпашевского района от 27.01.2025 № 9 "О предоставлении иных межбюджетных трансфертов из бюджета муниципального образования "Колпашевский район" бюджетам поселений, входящих в состав муниципального образования "Колпашевский район", на организацию водоснабжения и водоотведения населённых пунктов Колпашевского района" (от 24.02.2025 № 33, от 27.03.2025 № 46, от 29.04.2025 № 54, от 26.05.2025 № 67, от 23.06.2025 № 76, от 28.07.2025 № 85, от 28.08.2025 № 96)</t>
  </si>
  <si>
    <t>Решение Думы Колпашевского района от 27.01.2025 № 10 "О предоставлении иных межбюджетных трансфертов из бюджета муниципального образования "Колпашевский район" бюджетам поселений, входящих в состав муниципального образования "Колпашевский район", на организацию теплоснабжения населённых пунктов Колпашевского района" (в редакции от 24.02.2025 № 34,  от 29.04.2025 № 55, от 26.05.2025 № 68, от 23.06.2025 № 77, от 28.07.2025 № 86, от 28.08.2025 № 97)</t>
  </si>
  <si>
    <t>Решение Думы Колпашевского района от 29.04.2025 № 60 "О предоставлении иного межбюджетного трансферта на электроснабжение коммунальных объектов" (в редакции от 26.05.2025 № 70, от 28.08.2025 № 99)</t>
  </si>
  <si>
    <t>Решение Думы Колпашевского района от 25.11.2024 № 138 "О предоставлении иных межбюджетных трансфертов из бюджета муниципального образования "Колпашевский район" бюджетам поселений, входящих в состав муниципального образования "Колпашевский район", на организацию электроснабжения населённых пунктов Колпашевского района" (в редакции от 24.02.2025 № 31, 23.06.2025 № 79, от 28.08.2025 № 98)</t>
  </si>
  <si>
    <t>Постановление Администрации Колпашевского района от 28.01.2025 № 53 "Об иных межбюджетных трансфертах на компенсацию расходов по организации электроснабжения от дизельных электростанций в 2025 году" (в редакции от 07.08.2025 № 610)</t>
  </si>
  <si>
    <t xml:space="preserve">Постановление Администрации Колпашевского района от 17.03.2025 № 236 "Об установлении расходного обязательства
муниципального образования «Колпашевский район»,
порядка и срока расходования субсидии из областного бюджета бюджету муниципального образования «Колпашевский район» 
на реализацию мероприятий по обеспечению доступа 
к воде питьевого качества"
</t>
  </si>
  <si>
    <t>Постановление Администрации Колпашевского района от 27.01.2025 № 50 "Об иных межбюджетных трансфертах на капитальный ремонт и (или) ремонт автомобильных дорог общего пользования местного значения, предоставляемых бюджетам поселений Колпашевского района в 2025 году" (в редакции от 01.04.2025 № 290)</t>
  </si>
  <si>
    <t>Постановление Администрации Колпашевского района от 27.01.2025 № 47 "О порядке и сроке расходования субсидии из областного бюджета бюджету муниципального образования «Колпашевский район» на капитальный ремонт и (или) ремонт автомобильных дорог общего пользования местного значения" (в редакции от 31.03.2025 № 276)</t>
  </si>
  <si>
    <t>Постановление Администрации Колпашевского района от 24.06.2024 № 513 "Об иных межбюджетных трансфертов бюджету муниципального образования «Новоселовское сельское поселение» на обустройство спортивных объектов в поселениях Колпашевского района, из бюджета муниципального образования «Колпашевский район» в 2024 году" (отменён 12.05.2025 № 377)</t>
  </si>
  <si>
    <t>Решние Думы Колпашевского района от 16.12.2024 № 150 "О предоставлении из бюджета муниципального образования "Колпашевский район" бюджетам поселений, входящих в состав муниципального образования "Колпашевский район", иных межбюджетных трансфертов на улучшение состояния благоустройства населённых пунктов Колпашевского района"  (в редакции от  24.02.2025 № 32, от 27.03.2025 № 44, от 29.01.2025 № 58, от 23.06.2025 № 80, от 28.07.2025 № 89, от 28.08.2025 № 93)</t>
  </si>
  <si>
    <t>Постановление Администрации Колпашевского района от 24.12.2020 № 1407 "Об утверждении муниципальной программы "Совершенствование системы муниципального управления в Колпашевском районе" (в редакции от 03.09.2021 № 1058, от 08.02.2022 № 138, от 06.07.2022 № 864, от 27.12.2022 № 1510, от 14.04.2023 № 338, от 18.01.2024 № 39, от 26.03.2024 № 271, от 06.02.2025 № 898, от 14.03.2025 № 230)</t>
  </si>
  <si>
    <t xml:space="preserve">Постановление Администрации Колпашевского района от 24.12.2020 № 1407 "Об утверждении муниципальной программы "Совершенствование системы муниципального управления в Колпашевском районе" (в редакции от 03.09.2021 № 1058, от 08.02.2022 № 138, от 06.07.2022 № 864, от 27.12.2022 № 1510, от 14.04.2023 № 338, от 18.01.2024 № 39, от 26.03.2024 № 271, от 06.02.2025 № 898, от 14.03.2025 № 230)
</t>
  </si>
  <si>
    <t>Постановление Администрации Колпашевского района от 12.08.2014 № 791 "Об утверждении нормативов финансовых затрат на капитальный ремонт, ремонт, содержание автомобильных дорог общего пользования местного значения вне границ населенных пунктов в границах муниципального образования "Колпашевский район" и правил расчета размера ассигнований бюджета муниципального образования "Колпашевский район" на указанные цели" (в редакции от 18.09.2017 № 945, от 03.10.2018 № 1052, от 16.09.2019 № 1055, от 24.09.2020 № 1039, от 17.09.2021 № 1119, от 20.10.2022 № 1279, от 18.08.2023 № 755, от 14.06.2024 № 491, от 17.09.2025 № 758)</t>
  </si>
  <si>
    <t>Решение Думы Колпашевского района от 14.07.2006 № 180 "Об утверждении Положения о создании условий для предоставления транспортных услуг населению и организации транспортного обслуживания населению по маршрутам между поселениями в границах МО "Колпашевский район" (в редакции от 29.11.2006 № 237, от 27.04.2007 № 320, от 15.05.2008 № 477, от 08.09.2008 № 539, от 23.04.2012 № 75, от 10.09.2012 №120, от 29.04.2013 № 38, от 21.12.2015 № 56, от 28.03.2017 № 23, от 28.06.2017 № 56, от 28.09.2017 № 92, от 28.08.2018 № 78, от 28.11.2018 № 102, от 27.01.2025 № 7)</t>
  </si>
  <si>
    <t>1.7. Условно утвержденные расходы на первый и второй годы планового периода в соответствии с решением о местном бюджете муниципального района</t>
  </si>
  <si>
    <t>Постановление Администрации Колпашевского района от 22.09.2025 № 767 "Об установлении расходного обязательства бюджета муниципального образования «Колпашевский район», порядка и срока расходования субсидии предоставленной бюджету муниципального образования «Колпашевский район» на разработку проектной документации по объекту «Реконструкция гидротехнического сооружения «Ограждающая дамба мкр. «Пески» г. Колпашево» в Колпашевском районе Томской области"</t>
  </si>
  <si>
    <t>22.09.2025- 27.12.2026</t>
  </si>
  <si>
    <t>Постановление Администрации Томской области от 27.09.2019 № 343а "Об утверждении государственной программы «Охрана окружающей среды, воспроизводство и рациональное использование природных ресурсов"</t>
  </si>
  <si>
    <t>Подпрограмма 3</t>
  </si>
  <si>
    <t>Постановление Администрации Колпашевского района от 17.09.2025 № 759 "О порядке и сроке расходования средств субсидии из областного бюджета на реализацию мероприятий муниципальных программ (подпрограмм), направленных на развитие малого и среднего предпринимательства, а именно на мероприятие «Предоставление субсидии на поддержку стартующего бизнеса» муниципальной программы «Развитие предпринимательства в Колпашевском районе, утверждённой постановлением Администрации Колпашевского района от 28.11.2024 № 999"</t>
  </si>
  <si>
    <t>17.09.2025- 31.12.2025</t>
  </si>
  <si>
    <t>Постановление Администрации Колпашевского района от 05.08.2025 № 603 "О порядке и сроке расходования субсидии из областного бюджета бюджету муниципального образования «Колпашевский район» на 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 (в редакции от 29.08.2025 № 697)</t>
  </si>
  <si>
    <t>05.08.2025- 31.12.2025</t>
  </si>
  <si>
    <t>Решение Думы Колпашевского района от 28.08.2025 № 94 "О предоставлении иного межбюджетного трансферта бюджету муниципального образования "Чажемтовское сельское поселение" на проведение капитальных ремонтов объектов коммунальной инфраструктуры в целях подготовки хозяйственного комплекса Чажемтовского сельского поселения к безаварийному прохождению отопительного сезона"</t>
  </si>
  <si>
    <t>28.08.2025, не установлен</t>
  </si>
  <si>
    <t>Решение Думы Колпашевского района от 29.04.2025 № 59 "О предоставлении иного межбюджетного трансферта из бюджета муниципального образования "Колпашевский район" бюджету муниципального образования "Саровское сельское поселение" на обслуживание и проведение ремонтных работ воздушной линии электропередачи, расположенной по адресу: Российская Федерация, Томская область, Саровское сельское поселение, СНТ "Мичуринец", сооружение 1, воздушная линия электропередачи 0,4 кВ" (в редаукции от 28.07.2025 № 87)</t>
  </si>
  <si>
    <t>29.07.2024- 31.12.2025</t>
  </si>
  <si>
    <t>Решение Думы Колпашевского района от 25.11.2024 № 137 "О предоставлении иного межбюджетного трансферта бюджету муниципального образования "Колпашевское городское поселение" на организацию транспортного обслуживания населения Колпашевского городского поселения автомобильным транспортом"</t>
  </si>
  <si>
    <t>01.01.2025- 25.12.2025</t>
  </si>
  <si>
    <t>1.6.4.2.14.1.1.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</si>
  <si>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 xml:space="preserve">Решение Думы Колпашевского района от 25.03.2025 № 45 "О предоставлении из бюджета муниципального образования «Колпашевский район» бюджетам поселений, входящих в состав муниципального образования «Колпашевский район», иных межбюджетных трансфертов на ликвидацию мест несанкционированного размещения отходов" (в редакции от 29.04.2025 № 56, от 26.05.2025 № 69)
</t>
  </si>
  <si>
    <t>Постановление Администрации Колпашевского района от 25.03.2025 № 252 "О порядке расходования средств субсидии из бюджета Томской области на реализацию мероприятий по обеспечению жильём молодых семей"</t>
  </si>
  <si>
    <t>Решение Думы Колпашевского района от 22.06.2015 № 59 "О софинансировании проектов по организации и проведению в 2015 году мероприятий, направленных на поддержку и развитие социального туризма" (в редакции от 25.04.2016 № 25, от 28.08.2018 № 68)</t>
  </si>
  <si>
    <t>22.06.2015, не установлен</t>
  </si>
  <si>
    <t>Постановление Администрации Колпашевского района от 22.07.2025 № 574 "О порядке и сроке расходования средств субсидии на софинансирование расходных обязательств, возникающих в связи с реализацией проектов, отобранных по итогам проведения конкурса проектов и направленных на создание условий для развития туризма и туристической инфраструктуры в Томской области, на 2025 год"</t>
  </si>
  <si>
    <t>22.07.2025- 10.12.2025</t>
  </si>
  <si>
    <t>ст. 37, п.4</t>
  </si>
  <si>
    <t>1.1.1.18.1.1.4. Обеспечение антитеррористической защищённости объектов образования, культуры, опасных объектов и объектов жизнеобеспечения, находящихся в муниципальной собственности</t>
  </si>
  <si>
    <t>1.1.1.18.1.2.1. Проведение капитального ремонта зданий муниципальных образовательных организаций</t>
  </si>
  <si>
    <t>1.1.1.18.1.2.2. Строительство/реконструкция/ приобретение новых зданий для муниципальных образовательных организаций</t>
  </si>
  <si>
    <t>1.1.1.18.1.2.4. Обеспечение питанием отдельных категорий обучающихся муниципальных образовательных организаций</t>
  </si>
  <si>
    <t xml:space="preserve">1.1.1.18.1.2.5. Региональный проект "Все лучшее детям" </t>
  </si>
  <si>
    <t>(209 613)</t>
  </si>
  <si>
    <t>1.1.1.18.1.2.6. Региональный проект "Педагоги и наставники"</t>
  </si>
  <si>
    <t>1.1.1.19.1.1. Обеспечение безопасности граждан на территории муниципального образования "Колпашевский район"</t>
  </si>
  <si>
    <t>1.1.1.17.1.3.1. Создание условий, обеспечивающих приток педагогических кадров в муниципальную систему образования Колпашевского района</t>
  </si>
  <si>
    <t>1.1.1.17.1.3.2. Организация предоставления дошкольного образования в муниципальных дошкольных образовательных организациях</t>
  </si>
  <si>
    <t>1.1.1.17.1.3.3.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t>
  </si>
  <si>
    <t>1.1.1.17.1.3.4. Обеспечение питанием отдельных категорий обучающихся муниципальных образовательных организаций</t>
  </si>
  <si>
    <t>1.1.1.18.1.2.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</si>
  <si>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1.1.1.18.1.2.1. Обеспечение пожарной безопасности зданий муниципальных учреждений культуры и образовательных организаций Колпашевского района</t>
  </si>
  <si>
    <t>1.1.1.19.1.1.1. Проведение акций, мероприятий, направленных на профилактику дорожно - транспортного травматизма</t>
  </si>
  <si>
    <t>1.1.1.20.1.1.3. Организация и проведение мероприятий профилактической направленности. Изготовление печатной продукции, освещение проблем правонарушений среди несовершеннолетних в средствах массовой информации</t>
  </si>
  <si>
    <t>1.1.1.20.1.1.4. Организация и проведение волонтерских сборов, акций, других мероприятий профилактической направленности</t>
  </si>
  <si>
    <t>1.1.1.20.1.1.5. Обеспечение антитеррорестической защищенности объектов образования, культуры, опасных объектов и объектов жизнеобеспечения, находящихся в муниципальной собственности</t>
  </si>
  <si>
    <t>1.1.1.20.1.1.6. Организация видеонаблюдения в образовательных организациях, в муниципальных учреждениях культуры, в местах массового скопления людей, в местах выезда и мъеда на территорию населенных пунктов</t>
  </si>
  <si>
    <t>1.1.1.20.1.1.2. Профилактика экстремизма среди детей и молодежи Колпашевского района через патриотическое воспитание несовершеннолетних. Оснащение образовательных организаций оборудованием для организации и проведения профилактических и воспитательных мероприятий, направленных на формирование у несовершеннолетних стойкого неприятия идеологии терроризма, укрепления патриотического сознания и понимания силы и устойчивости Российской Федерации»</t>
  </si>
  <si>
    <t>1.1.1.32.1.1. Обеспечение безопасности граждан на территории муниципального образования "Колпашевский район"</t>
  </si>
  <si>
    <t>1.1.1.32.1.1.2. Организация видеонаблюдения в образовательных организациях, в муниципальных учреждениях культуры, в местах массового скопления людей, в местах выезда и въезда на территорию населенных пунктов</t>
  </si>
  <si>
    <t>1.1.1.32.1.1.4. Обеспечение антитеррористической защищённости объектов образования, культуры, опасных объектов и объектов жизнеобеспечения, находящихся в муниципальной собственности</t>
  </si>
  <si>
    <t>1.1.1.32.1.2.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</si>
  <si>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1.1.1.32.1.2.1. Обеспечение пожарной безопасности зданий муниципальных учреждений культуры и образовательных организаций Колпашевского района</t>
  </si>
  <si>
    <t>1.1.1.32.1.1.3. Организация и проведение волонтерских сборов, акций, других мероприятий профилактической направленности</t>
  </si>
  <si>
    <t>1.1.1.3.1.1.5. Информационное обеспечение граждан о действиях при угрозе возникновения террористических актов. Организация и проведение мероприятий профилактической направленности</t>
  </si>
  <si>
    <t>Подрограмма 2</t>
  </si>
  <si>
    <t>1.1.1.19.1.1.2. Обеспечение антитеррористической защищённости объектов образования, культуры, опасных объектов и объектов жизнеобеспечения, находящихся в муниципальной собственности</t>
  </si>
  <si>
    <t>1.1.1.19.1.2.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</si>
  <si>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1.1.1.19.1.2.1. Обеспечение пожарной безопасности зданий муниципальных учреждений культуры и образовательных организаций Колпашевского района</t>
  </si>
  <si>
    <t>1.1.1.19.1.3. Развитие муниципальной системы образования Колпашевского района</t>
  </si>
  <si>
    <t>1.1.1.19.1.3.1. Проведение капитального ремонта зданий муниципальных образовательных организаций</t>
  </si>
  <si>
    <t>1.1.1.19.1.3.2. Строительство/реконструкция/ приобретение новых зданий для муниципальных образовательных организаций</t>
  </si>
  <si>
    <t>1.1.1.19.1.3.3.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t>
  </si>
  <si>
    <t>1.1.1.19.1.3.4. Обеспечение питанием отдельных категорий обучающихся муниципальных образовательных организаций</t>
  </si>
  <si>
    <t>1.1.1.19.1.3.6. Региональный проект "Педагоги и наствавники"</t>
  </si>
  <si>
    <t>1.1.1.19.1.3.5. Регилнальный проект "Все лучшее - детям"</t>
  </si>
  <si>
    <t>1.1.1.20.1.2.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</si>
  <si>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1.1.1.20.1.3. Развитие муниципальной системы образования Колпашевского района</t>
  </si>
  <si>
    <t>1.1.1.20.1.2.1. Обеспечение пожарной безопасности зданий муниципальных учреждений культуры и образовательных организаций Колпашевского района</t>
  </si>
  <si>
    <t>1.1.1.20.1.3.1. Создание условий, обеспечивающих приток педагогических кадров в муниципальную систему образования Колпашевского района</t>
  </si>
  <si>
    <t>1.1.1.20.1.3.2. Создание условий и предоставление услуг по дополнительному образованию в организациях дополнительного образования</t>
  </si>
  <si>
    <t>Постановление Администрации Колпашевского района от 13.12.2023 № 1138 "Об утверждении муниципальной программы "Повышение уровня благоустройства в населённых пунктах Колпашевского района и качества окружающей среды в Колпашевском районе" (в редакции от 10.02.2025 №107, от 25.02.2025 № 165)</t>
  </si>
  <si>
    <t>1.1.1.32.1.1.1. Организация и проведение мероприятий профилактической направленности. Изготовление печатной продукции, освещение проблем правонарушений среди несовершеннолетних в средствах массовой информации</t>
  </si>
  <si>
    <t>1.1.1.32.1.2. Развитие культуры в Колпашевском районе</t>
  </si>
  <si>
    <t>1.1.1.32.1.2.1. Проведение мероприятий, направленных на организацию досуга, развитие местного традиционного народного художественного творчества, библиотечного обслуживания и обеспечение услуг организаций культуры</t>
  </si>
  <si>
    <t>Постановление Администрации Колпашевского района от 16.12.2015 № 1301 "Об утверждении Порядка формирования муниципального задания в отношении муниципальных учреждений муниципального образования "Колпашевский район" и Порядка финансового обеспечения выполнения муниципального задания муниципальными учреждениями в муниципальном образовании "Колпашевский район" (в редакции от 18.01.2016 № 11, от 06.07.2016 № 738, от 11.11.2016 № 1250, от 21.01.2017 № 120, от 27.10.2017 № 1134, от 09.10.2018 № 1072, от 05.12.2018 № 1306, от 02.04.2020 № 350, от 15.07.2020 № 733, от 24.12.2020 № 1410, от 26.01.2021 № 97, 21.04.2021 № 484, от 18.09.2024 № 820)</t>
  </si>
  <si>
    <t>(499 710</t>
  </si>
  <si>
    <t>(499 711)</t>
  </si>
  <si>
    <t xml:space="preserve">1.1.1.45.1.1. Развитие физической культуры и массового спорта в Колпашевском районе </t>
  </si>
  <si>
    <t>1.1.1.46.1.1. Развитие молодёжной политики в Колпашевском районе</t>
  </si>
  <si>
    <t>Постановление Администрации Томской области от 27.09.2019 № 358а "Об утверждении государственной программы "Комплексное развитие сельских территорий Томской области"</t>
  </si>
  <si>
    <t xml:space="preserve">1.1.1.57.1.2. Обеспечение жильем молодых семей в Колпашевском районе </t>
  </si>
  <si>
    <t xml:space="preserve">Постановление Администрации Колпашевского района от 16.12.2022 № 1458 «О порядке и сроках расходования средств субсидии на оплату труда руководителям и специалистам муниципальных учреждений культуры и искусства в части выплат надбавок и доплат к тарифной ставке (должностному окладу) из областного бюджета и утверждении Порядка определения объёма и условия предоставления муниципальным бюджетным учреждениям субсидии на оплату труда руководителей и специалистов муниципальных учреждений культуры и искусства в части выплат надбавок и доплат к тарифной ставке (должностному окладу) (в редакции от 09.02.2023 № 108, от 26.02.2024 № 173, от 18.04.2024 № 353, от 19.12.2024 № 1061) </t>
  </si>
  <si>
    <t>1.1.1.66.1.1.2. Государственная поддержка отрасли культуры</t>
  </si>
  <si>
    <t>1.1.1.66.1.1.3. Модернизация библиотек Колпашевского района)</t>
  </si>
  <si>
    <t>1.1.1.66.1.1.4.Региональный проект "Семейные ценности и инфраструктура культуры"</t>
  </si>
  <si>
    <t>1.1.1.69.1.1.1 Реализация (содействие в реализации) мероприятий, направленных на улучшение состояния благоустройства муниципального образования «Колпашевский район"</t>
  </si>
  <si>
    <r>
      <t xml:space="preserve">Постановление Администрации Колпашевского района от 10.01.2022 № 3 "Об организации бесплатного горячего питания обучающихся, получающих начальное общее образование в муниципальных образовательных организациях муниципального образования "Колпашевский район", порядке и сроках расходования средств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и об утверждении Порядка определения объёма и условия предоставления субсидии из бюджета муниципального образования "Колпашевский район" муниципальным бюджетным образовательным организациям и муниципальным автономным образовательным организациям на организацию бесплатного горячего питания обучающихся, получающих начальное общее образование в муниципальных общеобразовательных организациях" (в редакции от 14.02.2022 № 181, от 06.04.2022 № 431, от 30.08.2022 № 1098, от 04.01.2023 № 38, от 31.01.2023 № 60, от 27.03.2023 № 289, от 29.12.2023 № 1214, от 24.04.2024 № 365, от 10.02.2025 № 101, </t>
    </r>
    <r>
      <rPr>
        <sz val="9"/>
        <color theme="1"/>
        <rFont val="Times New Roman CYR"/>
        <charset val="204"/>
      </rPr>
      <t>от 10.02.2025 № 101</t>
    </r>
    <r>
      <rPr>
        <sz val="9"/>
        <color theme="1"/>
        <rFont val="Times New Roman CYR"/>
        <family val="1"/>
        <charset val="204"/>
      </rPr>
      <t>)</t>
    </r>
  </si>
  <si>
    <t>Постановление Администрации Колпашевского района от 15.12.2021 № 1484 "Об утверждении муниципальной программы "Развитие внутреннего и въездного туризма на территории Колпашевского района" (в редакции от 29.09.2022 № 1220, от 29.12.2022 № 1524, от 22.02.2023 № 154, от 09.02.2024 № 125, от 12.04.2024 № 336, от17.01.2025 № 14, от 19.03.2025 № 241)</t>
  </si>
  <si>
    <t>Постановление Администрации Колпашевского района от 25.02.2025 № 173 "О перечислении средств иных межбюджетных трансфертов Колпашевскому городскому поселению на исполнение судебных актов"</t>
  </si>
  <si>
    <t>25.02.2025- 26.12.2025</t>
  </si>
  <si>
    <t>1.6.4.2.11.1. расходы в рамках программной деятельности</t>
  </si>
  <si>
    <t>1.6.4.2.11.1.1. Обеспечение безопасности населения Колпашевского района</t>
  </si>
  <si>
    <t>Постановление Администрации Колпашевского района от 01.04.2025 № 291 "Об иных межбюджетных трансфертах на поощрение поселенческих команд, участвовавших в XVI зимней межпоселенческой спартакиаде в с. Тогур Колпашевского городского поселения, из бюджета муниципального образования «Колпашевский район» в 2025 году" (в редакции от 28.05.2025 № 422, от 14.08.2025 № 642)</t>
  </si>
  <si>
    <t>1.6.4.2.26.1.2. Повышение уровня благоустройства в населённых пунктах Колпашевского района и качества окружающей среды в Колпашевском районе"</t>
  </si>
  <si>
    <t>01.01.2024- 31.12.2028</t>
  </si>
  <si>
    <t>1.6.4.2.26.1.2.1. Реализация (содействие в реализации) мероприятий, направленных на улучшение состояния благоустройства муниципального образования «Колпашевский район»</t>
  </si>
  <si>
    <t>Реестр расходных обязательств муниципального образования "Колпашевский район" на текущий 2025 год и плановый период 2026 - 2028 годы</t>
  </si>
</sst>
</file>

<file path=xl/styles.xml><?xml version="1.0" encoding="utf-8"?>
<styleSheet xmlns="http://schemas.openxmlformats.org/spreadsheetml/2006/main">
  <numFmts count="4">
    <numFmt numFmtId="164" formatCode="#,##0.0_ ;\-#,##0.0\ "/>
    <numFmt numFmtId="165" formatCode="#,##0.0"/>
    <numFmt numFmtId="166" formatCode="#,##0.000"/>
    <numFmt numFmtId="167" formatCode="0.000"/>
  </numFmts>
  <fonts count="22">
    <font>
      <sz val="10"/>
      <name val="Arial"/>
    </font>
    <font>
      <sz val="10"/>
      <name val="Arial"/>
      <family val="2"/>
      <charset val="204"/>
    </font>
    <font>
      <sz val="10"/>
      <name val="Arial"/>
      <family val="2"/>
      <charset val="204"/>
    </font>
    <font>
      <sz val="9"/>
      <color theme="1"/>
      <name val="Times New Roman"/>
      <family val="1"/>
      <charset val="204"/>
    </font>
    <font>
      <sz val="9"/>
      <color theme="1"/>
      <name val="Times New Roman CYR"/>
      <charset val="204"/>
    </font>
    <font>
      <b/>
      <sz val="9"/>
      <color theme="1"/>
      <name val="Times New Roman"/>
      <family val="1"/>
      <charset val="204"/>
    </font>
    <font>
      <sz val="9"/>
      <color theme="1"/>
      <name val="Times New Roman CYR"/>
      <family val="1"/>
      <charset val="204"/>
    </font>
    <font>
      <b/>
      <sz val="8"/>
      <color theme="1"/>
      <name val="Times New Roman"/>
      <family val="1"/>
      <charset val="204"/>
    </font>
    <font>
      <sz val="8"/>
      <color theme="1"/>
      <name val="Times New Roman"/>
      <family val="1"/>
      <charset val="204"/>
    </font>
    <font>
      <b/>
      <sz val="14"/>
      <color theme="1"/>
      <name val="Times New Roman"/>
      <family val="1"/>
      <charset val="204"/>
    </font>
    <font>
      <sz val="14"/>
      <color theme="1"/>
      <name val="Times New Roman"/>
      <family val="1"/>
      <charset val="204"/>
    </font>
    <font>
      <b/>
      <sz val="9"/>
      <color theme="1"/>
      <name val="Times New Roman CYR"/>
      <family val="1"/>
      <charset val="204"/>
    </font>
    <font>
      <i/>
      <sz val="9"/>
      <color theme="1"/>
      <name val="Times New Roman"/>
      <family val="1"/>
      <charset val="204"/>
    </font>
    <font>
      <i/>
      <sz val="9"/>
      <color theme="1"/>
      <name val="Times New Roman CYR"/>
      <charset val="204"/>
    </font>
    <font>
      <i/>
      <sz val="9"/>
      <color theme="1"/>
      <name val="Times New Roman CYR"/>
      <family val="1"/>
      <charset val="204"/>
    </font>
    <font>
      <i/>
      <sz val="8"/>
      <color theme="1"/>
      <name val="Times New Roman"/>
      <family val="1"/>
      <charset val="204"/>
    </font>
    <font>
      <b/>
      <i/>
      <sz val="9"/>
      <color theme="1"/>
      <name val="Times New Roman"/>
      <family val="1"/>
      <charset val="204"/>
    </font>
    <font>
      <sz val="10"/>
      <color theme="1"/>
      <name val="Arial"/>
      <family val="2"/>
      <charset val="204"/>
    </font>
    <font>
      <i/>
      <sz val="10"/>
      <color theme="1"/>
      <name val="Times New Roman"/>
      <family val="1"/>
      <charset val="204"/>
    </font>
    <font>
      <sz val="10"/>
      <color theme="1"/>
      <name val="Times New Roman"/>
      <family val="1"/>
      <charset val="204"/>
    </font>
    <font>
      <b/>
      <sz val="9"/>
      <color theme="1"/>
      <name val="Times New Roman CYR"/>
      <charset val="204"/>
    </font>
    <font>
      <b/>
      <i/>
      <sz val="8"/>
      <color theme="1"/>
      <name val="Times New Roman"/>
      <family val="1"/>
      <charset val="204"/>
    </font>
  </fonts>
  <fills count="2">
    <fill>
      <patternFill patternType="none"/>
    </fill>
    <fill>
      <patternFill patternType="gray125"/>
    </fill>
  </fills>
  <borders count="338">
    <border>
      <left/>
      <right/>
      <top/>
      <bottom/>
      <diagonal/>
    </border>
    <border>
      <left style="thin">
        <color indexed="64"/>
      </left>
      <right style="thin">
        <color indexed="64"/>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bottom style="thin">
        <color indexed="8"/>
      </bottom>
      <diagonal/>
    </border>
    <border>
      <left style="thin">
        <color indexed="64"/>
      </left>
      <right style="thin">
        <color indexed="8"/>
      </right>
      <top/>
      <bottom/>
      <diagonal/>
    </border>
    <border>
      <left style="thin">
        <color indexed="64"/>
      </left>
      <right/>
      <top/>
      <bottom/>
      <diagonal/>
    </border>
    <border>
      <left style="thin">
        <color indexed="8"/>
      </left>
      <right style="thin">
        <color indexed="64"/>
      </right>
      <top/>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style="thin">
        <color indexed="64"/>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64"/>
      </left>
      <right style="thin">
        <color indexed="64"/>
      </right>
      <top/>
      <bottom style="thin">
        <color indexed="8"/>
      </bottom>
      <diagonal/>
    </border>
    <border>
      <left style="thin">
        <color indexed="64"/>
      </left>
      <right style="thin">
        <color indexed="8"/>
      </right>
      <top/>
      <bottom style="thin">
        <color indexed="8"/>
      </bottom>
      <diagonal/>
    </border>
    <border>
      <left style="thin">
        <color indexed="8"/>
      </left>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diagonal/>
    </border>
    <border>
      <left style="thin">
        <color indexed="8"/>
      </left>
      <right style="thin">
        <color indexed="64"/>
      </right>
      <top style="thin">
        <color indexed="8"/>
      </top>
      <bottom style="thin">
        <color indexed="8"/>
      </bottom>
      <diagonal/>
    </border>
    <border>
      <left/>
      <right style="thin">
        <color indexed="64"/>
      </right>
      <top/>
      <bottom/>
      <diagonal/>
    </border>
    <border>
      <left style="thin">
        <color indexed="64"/>
      </left>
      <right style="thin">
        <color indexed="8"/>
      </right>
      <top style="thin">
        <color indexed="64"/>
      </top>
      <bottom/>
      <diagonal/>
    </border>
    <border>
      <left style="thin">
        <color indexed="64"/>
      </left>
      <right style="thin">
        <color indexed="64"/>
      </right>
      <top style="thin">
        <color indexed="64"/>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style="thin">
        <color indexed="8"/>
      </bottom>
      <diagonal/>
    </border>
    <border>
      <left/>
      <right style="thin">
        <color indexed="64"/>
      </right>
      <top/>
      <bottom style="thin">
        <color indexed="8"/>
      </bottom>
      <diagonal/>
    </border>
    <border>
      <left style="thin">
        <color indexed="8"/>
      </left>
      <right/>
      <top/>
      <bottom style="thin">
        <color indexed="64"/>
      </bottom>
      <diagonal/>
    </border>
    <border>
      <left style="thin">
        <color indexed="64"/>
      </left>
      <right style="thin">
        <color indexed="64"/>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8"/>
      </bottom>
      <diagonal/>
    </border>
    <border>
      <left style="thin">
        <color indexed="8"/>
      </left>
      <right/>
      <top/>
      <bottom/>
      <diagonal/>
    </border>
    <border>
      <left style="thin">
        <color indexed="64"/>
      </left>
      <right style="thin">
        <color indexed="64"/>
      </right>
      <top/>
      <bottom/>
      <diagonal/>
    </border>
    <border>
      <left style="thin">
        <color indexed="8"/>
      </left>
      <right style="thin">
        <color indexed="8"/>
      </right>
      <top/>
      <bottom/>
      <diagonal/>
    </border>
    <border>
      <left style="thin">
        <color indexed="8"/>
      </left>
      <right style="thin">
        <color indexed="64"/>
      </right>
      <top/>
      <bottom style="thin">
        <color indexed="8"/>
      </bottom>
      <diagonal/>
    </border>
    <border>
      <left style="thin">
        <color auto="1"/>
      </left>
      <right/>
      <top/>
      <bottom/>
      <diagonal/>
    </border>
    <border>
      <left style="thin">
        <color auto="1"/>
      </left>
      <right style="thin">
        <color auto="1"/>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64"/>
      </right>
      <top/>
      <bottom style="thin">
        <color indexed="8"/>
      </bottom>
      <diagonal/>
    </border>
    <border>
      <left style="thin">
        <color indexed="64"/>
      </left>
      <right style="thin">
        <color auto="1"/>
      </right>
      <top style="thin">
        <color indexed="64"/>
      </top>
      <bottom/>
      <diagonal/>
    </border>
    <border>
      <left style="thin">
        <color indexed="8"/>
      </left>
      <right style="thin">
        <color indexed="8"/>
      </right>
      <top style="thin">
        <color indexed="8"/>
      </top>
      <bottom/>
      <diagonal/>
    </border>
    <border>
      <left/>
      <right style="thin">
        <color indexed="8"/>
      </right>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8"/>
      </right>
      <top style="thin">
        <color indexed="8"/>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8"/>
      </left>
      <right style="thin">
        <color indexed="8"/>
      </right>
      <top style="thin">
        <color indexed="64"/>
      </top>
      <bottom/>
      <diagonal/>
    </border>
    <border>
      <left style="thin">
        <color indexed="8"/>
      </left>
      <right style="thin">
        <color auto="1"/>
      </right>
      <top/>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8"/>
      </left>
      <right style="thin">
        <color indexed="8"/>
      </right>
      <top style="thin">
        <color auto="1"/>
      </top>
      <bottom style="thin">
        <color indexed="8"/>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thin">
        <color auto="1"/>
      </right>
      <top/>
      <bottom style="thin">
        <color auto="1"/>
      </bottom>
      <diagonal/>
    </border>
    <border>
      <left style="thin">
        <color indexed="64"/>
      </left>
      <right style="thin">
        <color auto="1"/>
      </right>
      <top/>
      <bottom style="thin">
        <color auto="1"/>
      </bottom>
      <diagonal/>
    </border>
    <border>
      <left style="thin">
        <color indexed="8"/>
      </left>
      <right style="thin">
        <color indexed="8"/>
      </right>
      <top style="thin">
        <color indexed="8"/>
      </top>
      <bottom style="thin">
        <color indexed="64"/>
      </bottom>
      <diagonal/>
    </border>
    <border>
      <left style="thin">
        <color indexed="64"/>
      </left>
      <right style="thin">
        <color indexed="8"/>
      </right>
      <top style="thin">
        <color auto="1"/>
      </top>
      <bottom style="thin">
        <color indexed="64"/>
      </bottom>
      <diagonal/>
    </border>
    <border>
      <left style="thin">
        <color indexed="8"/>
      </left>
      <right style="thin">
        <color indexed="8"/>
      </right>
      <top style="thin">
        <color auto="1"/>
      </top>
      <bottom style="thin">
        <color indexed="64"/>
      </bottom>
      <diagonal/>
    </border>
    <border>
      <left style="thin">
        <color indexed="8"/>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8"/>
      </left>
      <right style="thin">
        <color auto="1"/>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style="thin">
        <color indexed="8"/>
      </bottom>
      <diagonal/>
    </border>
    <border>
      <left style="thin">
        <color indexed="8"/>
      </left>
      <right style="thin">
        <color indexed="8"/>
      </right>
      <top style="thin">
        <color indexed="8"/>
      </top>
      <bottom/>
      <diagonal/>
    </border>
    <border>
      <left style="thin">
        <color auto="1"/>
      </left>
      <right style="thin">
        <color auto="1"/>
      </right>
      <top/>
      <bottom style="thin">
        <color auto="1"/>
      </bottom>
      <diagonal/>
    </border>
    <border>
      <left style="thin">
        <color indexed="8"/>
      </left>
      <right style="thin">
        <color indexed="64"/>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64"/>
      </left>
      <right style="thin">
        <color indexed="8"/>
      </right>
      <top/>
      <bottom style="thin">
        <color indexed="64"/>
      </bottom>
      <diagonal/>
    </border>
    <border>
      <left style="thin">
        <color auto="1"/>
      </left>
      <right style="thin">
        <color indexed="8"/>
      </right>
      <top/>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style="thin">
        <color indexed="64"/>
      </right>
      <top style="thin">
        <color indexed="8"/>
      </top>
      <bottom/>
      <diagonal/>
    </border>
    <border>
      <left style="thin">
        <color indexed="64"/>
      </left>
      <right style="thin">
        <color indexed="8"/>
      </right>
      <top style="thin">
        <color indexed="8"/>
      </top>
      <bottom/>
      <diagonal/>
    </border>
    <border>
      <left style="thin">
        <color indexed="64"/>
      </left>
      <right style="thin">
        <color auto="1"/>
      </right>
      <top/>
      <bottom/>
      <diagonal/>
    </border>
    <border>
      <left style="thin">
        <color indexed="8"/>
      </left>
      <right style="thin">
        <color indexed="8"/>
      </right>
      <top style="thin">
        <color indexed="8"/>
      </top>
      <bottom/>
      <diagonal/>
    </border>
    <border>
      <left style="thin">
        <color indexed="8"/>
      </left>
      <right style="thin">
        <color indexed="8"/>
      </right>
      <top style="thin">
        <color auto="1"/>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8"/>
      </right>
      <top style="thin">
        <color indexed="64"/>
      </top>
      <bottom/>
      <diagonal/>
    </border>
    <border>
      <left style="thin">
        <color indexed="8"/>
      </left>
      <right style="thin">
        <color indexed="64"/>
      </right>
      <top style="thin">
        <color auto="1"/>
      </top>
      <bottom/>
      <diagonal/>
    </border>
    <border>
      <left style="thin">
        <color indexed="8"/>
      </left>
      <right style="thin">
        <color indexed="8"/>
      </right>
      <top/>
      <bottom/>
      <diagonal/>
    </border>
    <border>
      <left/>
      <right/>
      <top/>
      <bottom style="thin">
        <color auto="1"/>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auto="1"/>
      </right>
      <top style="thin">
        <color indexed="8"/>
      </top>
      <bottom style="thin">
        <color indexed="8"/>
      </bottom>
      <diagonal/>
    </border>
    <border>
      <left style="thin">
        <color indexed="8"/>
      </left>
      <right style="thin">
        <color auto="1"/>
      </right>
      <top/>
      <bottom style="thin">
        <color indexed="8"/>
      </bottom>
      <diagonal/>
    </border>
    <border>
      <left style="thin">
        <color indexed="8"/>
      </left>
      <right style="thin">
        <color indexed="8"/>
      </right>
      <top style="thin">
        <color auto="1"/>
      </top>
      <bottom/>
      <diagonal/>
    </border>
    <border>
      <left style="thin">
        <color auto="1"/>
      </left>
      <right style="thin">
        <color indexed="8"/>
      </right>
      <top style="thin">
        <color auto="1"/>
      </top>
      <bottom style="thin">
        <color auto="1"/>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style="thin">
        <color indexed="8"/>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indexed="64"/>
      </right>
      <top style="thin">
        <color auto="1"/>
      </top>
      <bottom/>
      <diagonal/>
    </border>
    <border>
      <left style="thin">
        <color indexed="8"/>
      </left>
      <right style="thin">
        <color indexed="8"/>
      </right>
      <top/>
      <bottom style="thin">
        <color indexed="64"/>
      </bottom>
      <diagonal/>
    </border>
    <border>
      <left style="thin">
        <color indexed="64"/>
      </left>
      <right/>
      <top/>
      <bottom/>
      <diagonal/>
    </border>
    <border>
      <left style="thin">
        <color auto="1"/>
      </left>
      <right style="thin">
        <color auto="1"/>
      </right>
      <top/>
      <bottom/>
      <diagonal/>
    </border>
    <border>
      <left style="thin">
        <color indexed="8"/>
      </left>
      <right style="thin">
        <color indexed="8"/>
      </right>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8"/>
      </left>
      <right style="thin">
        <color indexed="8"/>
      </right>
      <top/>
      <bottom style="thin">
        <color indexed="8"/>
      </bottom>
      <diagonal/>
    </border>
    <border>
      <left style="thin">
        <color indexed="64"/>
      </left>
      <right style="thin">
        <color indexed="64"/>
      </right>
      <top/>
      <bottom style="thin">
        <color indexed="8"/>
      </bottom>
      <diagonal/>
    </border>
    <border>
      <left style="thin">
        <color indexed="8"/>
      </left>
      <right style="thin">
        <color indexed="64"/>
      </right>
      <top/>
      <bottom style="thin">
        <color indexed="64"/>
      </bottom>
      <diagonal/>
    </border>
    <border>
      <left style="thin">
        <color indexed="64"/>
      </left>
      <right/>
      <top/>
      <bottom style="thin">
        <color indexed="64"/>
      </bottom>
      <diagonal/>
    </border>
    <border>
      <left style="thin">
        <color indexed="8"/>
      </left>
      <right style="thin">
        <color auto="1"/>
      </right>
      <top/>
      <bottom/>
      <diagonal/>
    </border>
    <border>
      <left style="thin">
        <color indexed="8"/>
      </left>
      <right style="thin">
        <color indexed="8"/>
      </right>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bottom/>
      <diagonal/>
    </border>
    <border>
      <left/>
      <right style="thin">
        <color indexed="8"/>
      </right>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bottom style="thin">
        <color indexed="64"/>
      </bottom>
      <diagonal/>
    </border>
    <border>
      <left/>
      <right style="thin">
        <color indexed="8"/>
      </right>
      <top/>
      <bottom style="thin">
        <color indexed="8"/>
      </bottom>
      <diagonal/>
    </border>
    <border>
      <left style="thin">
        <color auto="1"/>
      </left>
      <right style="thin">
        <color indexed="64"/>
      </right>
      <top/>
      <bottom style="thin">
        <color indexed="64"/>
      </bottom>
      <diagonal/>
    </border>
    <border>
      <left/>
      <right style="thin">
        <color auto="1"/>
      </right>
      <top/>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auto="1"/>
      </left>
      <right style="thin">
        <color auto="1"/>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auto="1"/>
      </right>
      <top style="thin">
        <color indexed="8"/>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8"/>
      </top>
      <bottom/>
      <diagonal/>
    </border>
    <border>
      <left style="thin">
        <color auto="1"/>
      </left>
      <right style="thin">
        <color auto="1"/>
      </right>
      <top style="thin">
        <color auto="1"/>
      </top>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8"/>
      </right>
      <top style="thin">
        <color auto="1"/>
      </top>
      <bottom style="thin">
        <color indexed="8"/>
      </bottom>
      <diagonal/>
    </border>
    <border>
      <left style="thin">
        <color indexed="8"/>
      </left>
      <right style="thin">
        <color indexed="8"/>
      </right>
      <top/>
      <bottom style="thin">
        <color indexed="64"/>
      </bottom>
      <diagonal/>
    </border>
    <border>
      <left style="thin">
        <color indexed="64"/>
      </left>
      <right style="thin">
        <color indexed="64"/>
      </right>
      <top/>
      <bottom style="thin">
        <color indexed="64"/>
      </bottom>
      <diagonal/>
    </border>
    <border>
      <left style="thin">
        <color indexed="8"/>
      </left>
      <right/>
      <top/>
      <bottom style="thin">
        <color indexed="64"/>
      </bottom>
      <diagonal/>
    </border>
    <border>
      <left style="thin">
        <color auto="1"/>
      </left>
      <right style="thin">
        <color auto="1"/>
      </right>
      <top style="thin">
        <color indexed="8"/>
      </top>
      <bottom/>
      <diagonal/>
    </border>
    <border>
      <left style="thin">
        <color indexed="64"/>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style="thin">
        <color indexed="64"/>
      </bottom>
      <diagonal/>
    </border>
    <border>
      <left/>
      <right/>
      <top/>
      <bottom style="thin">
        <color indexed="64"/>
      </bottom>
      <diagonal/>
    </border>
    <border>
      <left style="thin">
        <color indexed="64"/>
      </left>
      <right style="thin">
        <color indexed="8"/>
      </right>
      <top/>
      <bottom/>
      <diagonal/>
    </border>
    <border>
      <left/>
      <right style="thin">
        <color indexed="8"/>
      </right>
      <top style="thin">
        <color indexed="8"/>
      </top>
      <bottom/>
      <diagonal/>
    </border>
    <border>
      <left/>
      <right style="thin">
        <color indexed="64"/>
      </right>
      <top/>
      <bottom style="thin">
        <color indexed="64"/>
      </bottom>
      <diagonal/>
    </border>
    <border>
      <left/>
      <right style="thin">
        <color indexed="64"/>
      </right>
      <top/>
      <bottom/>
      <diagonal/>
    </border>
    <border>
      <left/>
      <right style="thin">
        <color indexed="8"/>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auto="1"/>
      </left>
      <right/>
      <top/>
      <bottom/>
      <diagonal/>
    </border>
    <border>
      <left/>
      <right style="thin">
        <color indexed="64"/>
      </right>
      <top/>
      <bottom/>
      <diagonal/>
    </border>
    <border>
      <left style="thin">
        <color indexed="8"/>
      </left>
      <right/>
      <top style="thin">
        <color indexed="8"/>
      </top>
      <bottom style="thin">
        <color indexed="8"/>
      </bottom>
      <diagonal/>
    </border>
    <border>
      <left style="thin">
        <color auto="1"/>
      </left>
      <right style="thin">
        <color indexed="64"/>
      </right>
      <top/>
      <bottom style="thin">
        <color indexed="8"/>
      </bottom>
      <diagonal/>
    </border>
    <border>
      <left style="thin">
        <color indexed="8"/>
      </left>
      <right style="thin">
        <color indexed="8"/>
      </right>
      <top style="thin">
        <color indexed="8"/>
      </top>
      <bottom/>
      <diagonal/>
    </border>
    <border>
      <left style="thin">
        <color auto="1"/>
      </left>
      <right style="thin">
        <color indexed="64"/>
      </right>
      <top style="thin">
        <color auto="1"/>
      </top>
      <bottom/>
      <diagonal/>
    </border>
    <border>
      <left style="thin">
        <color indexed="64"/>
      </left>
      <right/>
      <top style="thin">
        <color indexed="64"/>
      </top>
      <bottom/>
      <diagonal/>
    </border>
    <border>
      <left style="thin">
        <color indexed="8"/>
      </left>
      <right style="thin">
        <color indexed="64"/>
      </right>
      <top/>
      <bottom style="thin">
        <color indexed="64"/>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top style="thin">
        <color indexed="8"/>
      </top>
      <bottom/>
      <diagonal/>
    </border>
    <border>
      <left style="thin">
        <color indexed="64"/>
      </left>
      <right style="thin">
        <color auto="1"/>
      </right>
      <top style="thin">
        <color indexed="8"/>
      </top>
      <bottom/>
      <diagonal/>
    </border>
    <border>
      <left style="thin">
        <color indexed="64"/>
      </left>
      <right style="thin">
        <color auto="1"/>
      </right>
      <top/>
      <bottom/>
      <diagonal/>
    </border>
    <border>
      <left style="thin">
        <color indexed="8"/>
      </left>
      <right style="thin">
        <color auto="1"/>
      </right>
      <top/>
      <bottom style="thin">
        <color indexed="64"/>
      </bottom>
      <diagonal/>
    </border>
    <border>
      <left style="thin">
        <color auto="1"/>
      </left>
      <right style="thin">
        <color indexed="64"/>
      </right>
      <top style="thin">
        <color indexed="8"/>
      </top>
      <bottom/>
      <diagonal/>
    </border>
    <border>
      <left style="thin">
        <color auto="1"/>
      </left>
      <right style="thin">
        <color indexed="8"/>
      </right>
      <top/>
      <bottom/>
      <diagonal/>
    </border>
    <border>
      <left style="thin">
        <color auto="1"/>
      </left>
      <right style="thin">
        <color indexed="64"/>
      </right>
      <top/>
      <bottom/>
      <diagonal/>
    </border>
    <border>
      <left style="thin">
        <color indexed="64"/>
      </left>
      <right style="thin">
        <color auto="1"/>
      </right>
      <top/>
      <bottom style="thin">
        <color auto="1"/>
      </bottom>
      <diagonal/>
    </border>
    <border>
      <left style="thin">
        <color indexed="8"/>
      </left>
      <right style="thin">
        <color indexed="64"/>
      </right>
      <top/>
      <bottom style="thin">
        <color auto="1"/>
      </bottom>
      <diagonal/>
    </border>
    <border>
      <left style="thin">
        <color indexed="64"/>
      </left>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64"/>
      </right>
      <top style="thin">
        <color indexed="8"/>
      </top>
      <bottom/>
      <diagonal/>
    </border>
    <border>
      <left style="thin">
        <color indexed="8"/>
      </left>
      <right/>
      <top/>
      <bottom style="thin">
        <color indexed="8"/>
      </bottom>
      <diagonal/>
    </border>
    <border>
      <left/>
      <right style="thin">
        <color indexed="64"/>
      </right>
      <top/>
      <bottom style="thin">
        <color indexed="8"/>
      </bottom>
      <diagonal/>
    </border>
    <border>
      <left/>
      <right style="thin">
        <color auto="1"/>
      </right>
      <top style="thin">
        <color auto="1"/>
      </top>
      <bottom/>
      <diagonal/>
    </border>
    <border>
      <left/>
      <right/>
      <top style="thin">
        <color auto="1"/>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8"/>
      </left>
      <right/>
      <top/>
      <bottom/>
      <diagonal/>
    </border>
    <border>
      <left style="thin">
        <color auto="1"/>
      </left>
      <right style="thin">
        <color auto="1"/>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thin">
        <color indexed="8"/>
      </bottom>
      <diagonal/>
    </border>
    <border>
      <left style="thin">
        <color indexed="64"/>
      </left>
      <right style="thin">
        <color indexed="64"/>
      </right>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top/>
      <bottom/>
      <diagonal/>
    </border>
    <border>
      <left style="thin">
        <color indexed="8"/>
      </left>
      <right style="thin">
        <color indexed="8"/>
      </right>
      <top style="thin">
        <color indexed="8"/>
      </top>
      <bottom/>
      <diagonal/>
    </border>
    <border>
      <left style="thin">
        <color indexed="64"/>
      </left>
      <right style="thin">
        <color indexed="8"/>
      </right>
      <top/>
      <bottom/>
      <diagonal/>
    </border>
    <border>
      <left/>
      <right style="thin">
        <color auto="1"/>
      </right>
      <top/>
      <bottom/>
      <diagonal/>
    </border>
    <border>
      <left style="thin">
        <color indexed="64"/>
      </left>
      <right style="thin">
        <color auto="1"/>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indexed="8"/>
      </left>
      <right/>
      <top/>
      <bottom/>
      <diagonal/>
    </border>
    <border>
      <left/>
      <right style="thin">
        <color rgb="FF000000"/>
      </right>
      <top style="thin">
        <color rgb="FF000000"/>
      </top>
      <bottom/>
      <diagonal/>
    </border>
    <border>
      <left style="thin">
        <color indexed="8"/>
      </left>
      <right style="thin">
        <color indexed="8"/>
      </right>
      <top/>
      <bottom/>
      <diagonal/>
    </border>
    <border>
      <left style="thin">
        <color indexed="64"/>
      </left>
      <right style="thin">
        <color indexed="8"/>
      </right>
      <top/>
      <bottom/>
      <diagonal/>
    </border>
    <border>
      <left style="thin">
        <color indexed="8"/>
      </left>
      <right style="thin">
        <color indexed="64"/>
      </right>
      <top/>
      <bottom/>
      <diagonal/>
    </border>
    <border>
      <left style="thin">
        <color rgb="FF000000"/>
      </left>
      <right style="thin">
        <color indexed="8"/>
      </right>
      <top style="thin">
        <color indexed="64"/>
      </top>
      <bottom/>
      <diagonal/>
    </border>
    <border>
      <left style="thin">
        <color rgb="FF000000"/>
      </left>
      <right style="thin">
        <color indexed="8"/>
      </right>
      <top/>
      <bottom/>
      <diagonal/>
    </border>
    <border>
      <left style="thin">
        <color indexed="8"/>
      </left>
      <right style="thin">
        <color rgb="FF000000"/>
      </right>
      <top style="thin">
        <color indexed="64"/>
      </top>
      <bottom/>
      <diagonal/>
    </border>
    <border>
      <left style="thin">
        <color indexed="8"/>
      </left>
      <right style="thin">
        <color rgb="FF000000"/>
      </right>
      <top/>
      <bottom/>
      <diagonal/>
    </border>
    <border>
      <left style="thin">
        <color indexed="64"/>
      </left>
      <right/>
      <top style="thin">
        <color indexed="8"/>
      </top>
      <bottom/>
      <diagonal/>
    </border>
    <border>
      <left style="thin">
        <color indexed="64"/>
      </left>
      <right/>
      <top/>
      <bottom/>
      <diagonal/>
    </border>
    <border>
      <left/>
      <right style="thin">
        <color indexed="64"/>
      </right>
      <top style="thin">
        <color indexed="8"/>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8"/>
      </top>
      <bottom/>
      <diagonal/>
    </border>
    <border>
      <left/>
      <right style="thin">
        <color indexed="8"/>
      </right>
      <top style="thin">
        <color indexed="64"/>
      </top>
      <bottom/>
      <diagonal/>
    </border>
    <border>
      <left/>
      <right style="thin">
        <color indexed="8"/>
      </right>
      <top/>
      <bottom style="thin">
        <color indexed="64"/>
      </bottom>
      <diagonal/>
    </border>
    <border>
      <left style="thin">
        <color indexed="64"/>
      </left>
      <right style="thin">
        <color auto="1"/>
      </right>
      <top/>
      <bottom/>
      <diagonal/>
    </border>
    <border>
      <left/>
      <right style="thin">
        <color auto="1"/>
      </right>
      <top/>
      <bottom/>
      <diagonal/>
    </border>
    <border>
      <left style="thin">
        <color indexed="8"/>
      </left>
      <right/>
      <top/>
      <bottom/>
      <diagonal/>
    </border>
    <border>
      <left style="thin">
        <color indexed="8"/>
      </left>
      <right style="thin">
        <color indexed="8"/>
      </right>
      <top/>
      <bottom/>
      <diagonal/>
    </border>
    <border>
      <left style="thin">
        <color auto="1"/>
      </left>
      <right style="thin">
        <color indexed="64"/>
      </right>
      <top/>
      <bottom/>
      <diagonal/>
    </border>
    <border>
      <left style="thin">
        <color indexed="64"/>
      </left>
      <right/>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64"/>
      </right>
      <top/>
      <bottom/>
      <diagonal/>
    </border>
    <border>
      <left style="thin">
        <color auto="1"/>
      </left>
      <right/>
      <top/>
      <bottom/>
      <diagonal/>
    </border>
    <border>
      <left style="thin">
        <color indexed="64"/>
      </left>
      <right style="thin">
        <color auto="1"/>
      </right>
      <top/>
      <bottom style="thin">
        <color auto="1"/>
      </bottom>
      <diagonal/>
    </border>
    <border>
      <left/>
      <right/>
      <top style="thin">
        <color indexed="8"/>
      </top>
      <bottom/>
      <diagonal/>
    </border>
    <border>
      <left style="thin">
        <color indexed="8"/>
      </left>
      <right style="thin">
        <color indexed="64"/>
      </right>
      <top style="thin">
        <color indexed="64"/>
      </top>
      <bottom style="thin">
        <color indexed="64"/>
      </bottom>
      <diagonal/>
    </border>
    <border>
      <left style="thin">
        <color indexed="64"/>
      </left>
      <right style="thin">
        <color auto="1"/>
      </right>
      <top style="thin">
        <color rgb="FF000000"/>
      </top>
      <bottom/>
      <diagonal/>
    </border>
    <border>
      <left style="thin">
        <color indexed="64"/>
      </left>
      <right style="thin">
        <color auto="1"/>
      </right>
      <top style="thin">
        <color indexed="64"/>
      </top>
      <bottom style="thin">
        <color indexed="64"/>
      </bottom>
      <diagonal/>
    </border>
    <border>
      <left style="thin">
        <color rgb="FF000000"/>
      </left>
      <right style="thin">
        <color rgb="FF000000"/>
      </right>
      <top/>
      <bottom/>
      <diagonal/>
    </border>
    <border>
      <left style="thin">
        <color indexed="8"/>
      </left>
      <right style="thin">
        <color auto="1"/>
      </right>
      <top/>
      <bottom/>
      <diagonal/>
    </border>
    <border>
      <left/>
      <right style="thin">
        <color auto="1"/>
      </right>
      <top/>
      <bottom/>
      <diagonal/>
    </border>
    <border>
      <left/>
      <right style="thin">
        <color indexed="8"/>
      </right>
      <top/>
      <bottom/>
      <diagonal/>
    </border>
    <border>
      <left style="thin">
        <color auto="1"/>
      </left>
      <right style="thin">
        <color auto="1"/>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top/>
      <bottom style="thin">
        <color indexed="64"/>
      </bottom>
      <diagonal/>
    </border>
    <border>
      <left style="thin">
        <color auto="1"/>
      </left>
      <right style="thin">
        <color indexed="8"/>
      </right>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64"/>
      </left>
      <right style="thin">
        <color indexed="64"/>
      </right>
      <top/>
      <bottom style="thin">
        <color rgb="FF000000"/>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indexed="64"/>
      </left>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auto="1"/>
      </left>
      <right style="thin">
        <color indexed="64"/>
      </right>
      <top style="thin">
        <color auto="1"/>
      </top>
      <bottom/>
      <diagonal/>
    </border>
    <border>
      <left/>
      <right style="thin">
        <color auto="1"/>
      </right>
      <top/>
      <bottom/>
      <diagonal/>
    </border>
    <border>
      <left style="thin">
        <color indexed="8"/>
      </left>
      <right style="thin">
        <color indexed="8"/>
      </right>
      <top/>
      <bottom style="thin">
        <color indexed="8"/>
      </bottom>
      <diagonal/>
    </border>
    <border>
      <left style="thin">
        <color indexed="8"/>
      </left>
      <right style="thin">
        <color auto="1"/>
      </right>
      <top style="thin">
        <color indexed="8"/>
      </top>
      <bottom/>
      <diagonal/>
    </border>
    <border>
      <left style="thin">
        <color indexed="64"/>
      </left>
      <right style="thin">
        <color indexed="8"/>
      </right>
      <top style="thin">
        <color indexed="64"/>
      </top>
      <bottom/>
      <diagonal/>
    </border>
    <border>
      <left style="thin">
        <color indexed="8"/>
      </left>
      <right style="thin">
        <color indexed="8"/>
      </right>
      <top style="thin">
        <color auto="1"/>
      </top>
      <bottom/>
      <diagonal/>
    </border>
    <border>
      <left style="thin">
        <color indexed="8"/>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rgb="FF000000"/>
      </top>
      <bottom/>
      <diagonal/>
    </border>
    <border>
      <left style="thin">
        <color indexed="64"/>
      </left>
      <right/>
      <top/>
      <bottom style="thin">
        <color indexed="64"/>
      </bottom>
      <diagonal/>
    </border>
  </borders>
  <cellStyleXfs count="3">
    <xf numFmtId="0" fontId="0" fillId="0" borderId="0"/>
    <xf numFmtId="0" fontId="2" fillId="0" borderId="0"/>
    <xf numFmtId="0" fontId="1" fillId="0" borderId="0"/>
  </cellStyleXfs>
  <cellXfs count="1867">
    <xf numFmtId="0" fontId="0" fillId="0" borderId="0" xfId="0"/>
    <xf numFmtId="0" fontId="4" fillId="0" borderId="166" xfId="0" applyFont="1" applyFill="1" applyBorder="1" applyAlignment="1" applyProtection="1">
      <alignment horizontal="center" vertical="top" wrapText="1" shrinkToFit="1"/>
      <protection locked="0"/>
    </xf>
    <xf numFmtId="0" fontId="3" fillId="0" borderId="5" xfId="0" applyFont="1" applyFill="1" applyBorder="1" applyAlignment="1" applyProtection="1">
      <alignment vertical="top" wrapText="1" readingOrder="1"/>
      <protection locked="0"/>
    </xf>
    <xf numFmtId="14" fontId="3" fillId="0" borderId="133" xfId="0" applyNumberFormat="1" applyFont="1" applyFill="1" applyBorder="1" applyAlignment="1" applyProtection="1">
      <alignment horizontal="center" vertical="top" wrapText="1" shrinkToFit="1"/>
      <protection locked="0"/>
    </xf>
    <xf numFmtId="0" fontId="3" fillId="0" borderId="133" xfId="0" applyFont="1" applyFill="1" applyBorder="1" applyAlignment="1" applyProtection="1">
      <alignment horizontal="center" vertical="top" wrapText="1" shrinkToFit="1"/>
      <protection locked="0"/>
    </xf>
    <xf numFmtId="0" fontId="3" fillId="0" borderId="53" xfId="0" applyFont="1" applyFill="1" applyBorder="1" applyAlignment="1" applyProtection="1">
      <alignment horizontal="center" vertical="top" wrapText="1" shrinkToFit="1"/>
      <protection locked="0"/>
    </xf>
    <xf numFmtId="14" fontId="3" fillId="0" borderId="53" xfId="0" applyNumberFormat="1" applyFont="1" applyFill="1" applyBorder="1" applyAlignment="1" applyProtection="1">
      <alignment horizontal="center" vertical="top" wrapText="1" shrinkToFit="1"/>
      <protection locked="0"/>
    </xf>
    <xf numFmtId="49" fontId="3" fillId="0" borderId="53" xfId="0" applyNumberFormat="1" applyFont="1" applyFill="1" applyBorder="1" applyAlignment="1" applyProtection="1">
      <alignment horizontal="center" vertical="top" wrapText="1" readingOrder="1"/>
      <protection locked="0"/>
    </xf>
    <xf numFmtId="165" fontId="3" fillId="0" borderId="133" xfId="0" applyNumberFormat="1" applyFont="1" applyFill="1" applyBorder="1" applyAlignment="1" applyProtection="1">
      <alignment vertical="top" wrapText="1" readingOrder="1"/>
      <protection locked="0"/>
    </xf>
    <xf numFmtId="0" fontId="3" fillId="0" borderId="0" xfId="0" applyFont="1" applyFill="1"/>
    <xf numFmtId="0" fontId="5" fillId="0" borderId="2" xfId="0" applyFont="1" applyFill="1" applyBorder="1" applyAlignment="1" applyProtection="1">
      <alignment vertical="top" wrapText="1" readingOrder="1"/>
      <protection locked="0"/>
    </xf>
    <xf numFmtId="0" fontId="3" fillId="0" borderId="2" xfId="0" applyFont="1" applyFill="1" applyBorder="1" applyAlignment="1" applyProtection="1">
      <alignment horizontal="center" vertical="top" wrapText="1" readingOrder="1"/>
      <protection locked="0"/>
    </xf>
    <xf numFmtId="0" fontId="3" fillId="0" borderId="2" xfId="0" applyFont="1" applyFill="1" applyBorder="1" applyAlignment="1" applyProtection="1">
      <alignment vertical="top" wrapText="1" readingOrder="1"/>
      <protection locked="0"/>
    </xf>
    <xf numFmtId="0" fontId="6" fillId="0" borderId="97" xfId="0" applyFont="1" applyFill="1" applyBorder="1" applyAlignment="1" applyProtection="1">
      <alignment horizontal="center" vertical="top" wrapText="1" shrinkToFit="1"/>
      <protection locked="0"/>
    </xf>
    <xf numFmtId="0" fontId="5" fillId="0" borderId="53" xfId="0" applyFont="1" applyFill="1" applyBorder="1" applyAlignment="1" applyProtection="1">
      <alignment vertical="top" wrapText="1" readingOrder="1"/>
      <protection locked="0"/>
    </xf>
    <xf numFmtId="49" fontId="5" fillId="0" borderId="53" xfId="0" applyNumberFormat="1" applyFont="1" applyFill="1" applyBorder="1" applyAlignment="1" applyProtection="1">
      <alignment horizontal="center" vertical="top" wrapText="1" readingOrder="1"/>
      <protection locked="0"/>
    </xf>
    <xf numFmtId="0" fontId="5" fillId="0" borderId="53" xfId="0" applyFont="1" applyFill="1" applyBorder="1" applyAlignment="1" applyProtection="1">
      <alignment horizontal="center" vertical="top" wrapText="1" readingOrder="1"/>
      <protection locked="0"/>
    </xf>
    <xf numFmtId="165" fontId="5" fillId="0" borderId="52" xfId="0" applyNumberFormat="1" applyFont="1" applyFill="1" applyBorder="1" applyAlignment="1" applyProtection="1">
      <alignment vertical="top" wrapText="1" readingOrder="1"/>
      <protection locked="0"/>
    </xf>
    <xf numFmtId="0" fontId="5" fillId="0" borderId="0" xfId="0" applyFont="1" applyFill="1"/>
    <xf numFmtId="0" fontId="7" fillId="0" borderId="0" xfId="0" applyFont="1" applyFill="1"/>
    <xf numFmtId="0" fontId="3" fillId="0" borderId="254" xfId="0" applyFont="1" applyFill="1" applyBorder="1" applyAlignment="1" applyProtection="1">
      <alignment vertical="top" wrapText="1" readingOrder="1"/>
      <protection locked="0"/>
    </xf>
    <xf numFmtId="0" fontId="6" fillId="0" borderId="254" xfId="0" applyFont="1" applyFill="1" applyBorder="1" applyAlignment="1" applyProtection="1">
      <alignment horizontal="center" vertical="top" wrapText="1" shrinkToFit="1"/>
      <protection locked="0"/>
    </xf>
    <xf numFmtId="0" fontId="4" fillId="0" borderId="53" xfId="0" applyFont="1" applyFill="1" applyBorder="1" applyAlignment="1" applyProtection="1">
      <alignment horizontal="center" vertical="top" wrapText="1" shrinkToFit="1" readingOrder="1"/>
      <protection locked="0"/>
    </xf>
    <xf numFmtId="14" fontId="4" fillId="0" borderId="53" xfId="0" applyNumberFormat="1" applyFont="1" applyFill="1" applyBorder="1" applyAlignment="1" applyProtection="1">
      <alignment horizontal="center" vertical="top" wrapText="1" shrinkToFit="1" readingOrder="1"/>
      <protection locked="0"/>
    </xf>
    <xf numFmtId="14" fontId="4" fillId="0" borderId="53" xfId="0" applyNumberFormat="1" applyFont="1" applyFill="1" applyBorder="1" applyAlignment="1" applyProtection="1">
      <alignment vertical="top" wrapText="1" shrinkToFit="1" readingOrder="1"/>
      <protection locked="0"/>
    </xf>
    <xf numFmtId="0" fontId="6" fillId="0" borderId="239" xfId="0" applyFont="1" applyFill="1" applyBorder="1" applyAlignment="1" applyProtection="1">
      <alignment horizontal="center" vertical="top" wrapText="1" shrinkToFit="1"/>
      <protection locked="0"/>
    </xf>
    <xf numFmtId="0" fontId="4" fillId="0" borderId="200" xfId="0" applyFont="1" applyFill="1" applyBorder="1" applyAlignment="1">
      <alignment horizontal="center" vertical="top" wrapText="1"/>
    </xf>
    <xf numFmtId="0" fontId="3" fillId="0" borderId="214" xfId="0" applyFont="1" applyFill="1" applyBorder="1" applyAlignment="1" applyProtection="1">
      <alignment horizontal="left" vertical="top" wrapText="1" readingOrder="1"/>
      <protection locked="0"/>
    </xf>
    <xf numFmtId="0" fontId="3" fillId="0" borderId="168" xfId="0" applyFont="1" applyFill="1" applyBorder="1" applyAlignment="1" applyProtection="1">
      <alignment vertical="top" wrapText="1" readingOrder="1"/>
      <protection locked="0"/>
    </xf>
    <xf numFmtId="0" fontId="4" fillId="0" borderId="168" xfId="0" applyFont="1" applyFill="1" applyBorder="1" applyAlignment="1">
      <alignment horizontal="center" vertical="top" wrapText="1"/>
    </xf>
    <xf numFmtId="0" fontId="4" fillId="0" borderId="168" xfId="0" applyFont="1" applyFill="1" applyBorder="1" applyAlignment="1">
      <alignment vertical="top" wrapText="1"/>
    </xf>
    <xf numFmtId="49" fontId="3" fillId="0" borderId="193" xfId="0" applyNumberFormat="1" applyFont="1" applyFill="1" applyBorder="1" applyAlignment="1" applyProtection="1">
      <alignment horizontal="center" vertical="top" wrapText="1" readingOrder="1"/>
      <protection locked="0"/>
    </xf>
    <xf numFmtId="165" fontId="3" fillId="0" borderId="242" xfId="0" applyNumberFormat="1" applyFont="1" applyFill="1" applyBorder="1" applyAlignment="1" applyProtection="1">
      <alignment vertical="top" wrapText="1" readingOrder="1"/>
      <protection locked="0"/>
    </xf>
    <xf numFmtId="0" fontId="8" fillId="0" borderId="0" xfId="0" applyFont="1" applyFill="1"/>
    <xf numFmtId="0" fontId="3" fillId="0" borderId="166" xfId="0" applyFont="1" applyFill="1" applyBorder="1" applyAlignment="1" applyProtection="1">
      <alignment vertical="top" wrapText="1" readingOrder="1"/>
      <protection locked="0"/>
    </xf>
    <xf numFmtId="49" fontId="3" fillId="0" borderId="52" xfId="0" applyNumberFormat="1" applyFont="1" applyFill="1" applyBorder="1" applyAlignment="1" applyProtection="1">
      <alignment horizontal="center" vertical="top" wrapText="1" readingOrder="1"/>
      <protection locked="0"/>
    </xf>
    <xf numFmtId="0" fontId="3" fillId="0" borderId="52" xfId="0" applyFont="1" applyFill="1" applyBorder="1" applyAlignment="1" applyProtection="1">
      <alignment vertical="top" wrapText="1" readingOrder="1"/>
      <protection locked="0"/>
    </xf>
    <xf numFmtId="0" fontId="3" fillId="0" borderId="52" xfId="0" applyFont="1" applyFill="1" applyBorder="1" applyAlignment="1">
      <alignment horizontal="center" vertical="top" wrapText="1"/>
    </xf>
    <xf numFmtId="14" fontId="3" fillId="0" borderId="52" xfId="0" applyNumberFormat="1" applyFont="1" applyFill="1" applyBorder="1" applyAlignment="1" applyProtection="1">
      <alignment horizontal="center" vertical="top" wrapText="1" shrinkToFit="1"/>
      <protection locked="0"/>
    </xf>
    <xf numFmtId="165" fontId="3" fillId="0" borderId="148" xfId="0" applyNumberFormat="1" applyFont="1" applyFill="1" applyBorder="1" applyAlignment="1" applyProtection="1">
      <alignment vertical="top" wrapText="1" readingOrder="1"/>
      <protection locked="0"/>
    </xf>
    <xf numFmtId="165" fontId="3" fillId="0" borderId="168" xfId="0" applyNumberFormat="1" applyFont="1" applyFill="1" applyBorder="1" applyAlignment="1" applyProtection="1">
      <alignment vertical="top" wrapText="1" readingOrder="1"/>
      <protection locked="0"/>
    </xf>
    <xf numFmtId="49" fontId="3" fillId="0" borderId="242" xfId="0" applyNumberFormat="1" applyFont="1" applyFill="1" applyBorder="1" applyAlignment="1" applyProtection="1">
      <alignment horizontal="center" vertical="top" wrapText="1" readingOrder="1"/>
      <protection locked="0"/>
    </xf>
    <xf numFmtId="0" fontId="3" fillId="0" borderId="242" xfId="0" applyFont="1" applyFill="1" applyBorder="1" applyAlignment="1" applyProtection="1">
      <alignment vertical="top" wrapText="1" readingOrder="1"/>
      <protection locked="0"/>
    </xf>
    <xf numFmtId="0" fontId="3" fillId="0" borderId="242" xfId="0" applyFont="1" applyFill="1" applyBorder="1" applyAlignment="1">
      <alignment horizontal="center" vertical="top" wrapText="1"/>
    </xf>
    <xf numFmtId="0" fontId="3" fillId="0" borderId="242" xfId="0" applyFont="1" applyFill="1" applyBorder="1" applyAlignment="1" applyProtection="1">
      <alignment horizontal="center" vertical="top" wrapText="1" shrinkToFit="1"/>
      <protection locked="0"/>
    </xf>
    <xf numFmtId="14" fontId="3" fillId="0" borderId="242" xfId="0" applyNumberFormat="1" applyFont="1" applyFill="1" applyBorder="1" applyAlignment="1" applyProtection="1">
      <alignment horizontal="center" vertical="top" wrapText="1" shrinkToFit="1"/>
      <protection locked="0"/>
    </xf>
    <xf numFmtId="0" fontId="10" fillId="0" borderId="0" xfId="0" applyFont="1" applyFill="1"/>
    <xf numFmtId="0" fontId="3" fillId="0" borderId="3" xfId="0" applyFont="1" applyFill="1" applyBorder="1" applyAlignment="1" applyProtection="1">
      <alignment horizontal="center" vertical="top" wrapText="1" readingOrder="1"/>
      <protection locked="0"/>
    </xf>
    <xf numFmtId="0" fontId="3" fillId="0" borderId="21" xfId="0" applyFont="1" applyFill="1" applyBorder="1" applyAlignment="1" applyProtection="1">
      <alignment horizontal="center" vertical="top" wrapText="1" readingOrder="1"/>
      <protection locked="0"/>
    </xf>
    <xf numFmtId="165" fontId="3" fillId="0" borderId="5" xfId="0" applyNumberFormat="1" applyFont="1" applyFill="1" applyBorder="1" applyAlignment="1" applyProtection="1">
      <alignment horizontal="center" vertical="top" wrapText="1" readingOrder="1"/>
      <protection locked="0"/>
    </xf>
    <xf numFmtId="0" fontId="3" fillId="0" borderId="5" xfId="0" applyFont="1" applyFill="1" applyBorder="1" applyAlignment="1" applyProtection="1">
      <alignment horizontal="center" vertical="top" wrapText="1" readingOrder="1"/>
      <protection locked="0"/>
    </xf>
    <xf numFmtId="0" fontId="3" fillId="0" borderId="5" xfId="0" applyFont="1" applyFill="1" applyBorder="1" applyAlignment="1" applyProtection="1">
      <alignment vertical="center" wrapText="1" readingOrder="1"/>
      <protection locked="0"/>
    </xf>
    <xf numFmtId="0" fontId="3" fillId="0" borderId="7" xfId="0" applyFont="1" applyFill="1" applyBorder="1" applyAlignment="1" applyProtection="1">
      <alignment horizontal="center" vertical="top" wrapText="1" readingOrder="1"/>
      <protection locked="0"/>
    </xf>
    <xf numFmtId="165" fontId="3" fillId="0" borderId="17" xfId="0" applyNumberFormat="1" applyFont="1" applyFill="1" applyBorder="1" applyAlignment="1" applyProtection="1">
      <alignment horizontal="center" vertical="top" wrapText="1" readingOrder="1"/>
      <protection locked="0"/>
    </xf>
    <xf numFmtId="167" fontId="3" fillId="0" borderId="170" xfId="0" applyNumberFormat="1" applyFont="1" applyFill="1" applyBorder="1" applyAlignment="1" applyProtection="1">
      <alignment horizontal="center" vertical="top" wrapText="1" readingOrder="1"/>
      <protection locked="0"/>
    </xf>
    <xf numFmtId="0" fontId="3" fillId="0" borderId="17" xfId="0" applyFont="1" applyFill="1" applyBorder="1" applyAlignment="1" applyProtection="1">
      <alignment horizontal="center" vertical="top" wrapText="1" readingOrder="1"/>
      <protection locked="0"/>
    </xf>
    <xf numFmtId="0" fontId="5" fillId="0" borderId="11" xfId="0" applyFont="1" applyFill="1" applyBorder="1" applyAlignment="1" applyProtection="1">
      <alignment vertical="top" wrapText="1" readingOrder="1"/>
      <protection locked="0"/>
    </xf>
    <xf numFmtId="0" fontId="5" fillId="0" borderId="11" xfId="0" applyFont="1" applyFill="1" applyBorder="1" applyAlignment="1" applyProtection="1">
      <alignment horizontal="center" vertical="top" wrapText="1" readingOrder="1"/>
      <protection locked="0"/>
    </xf>
    <xf numFmtId="0" fontId="5" fillId="0" borderId="19" xfId="0" applyFont="1" applyFill="1" applyBorder="1" applyAlignment="1" applyProtection="1">
      <alignment horizontal="center" vertical="top" wrapText="1" readingOrder="1"/>
      <protection locked="0"/>
    </xf>
    <xf numFmtId="165" fontId="5" fillId="0" borderId="13" xfId="0" applyNumberFormat="1" applyFont="1" applyFill="1" applyBorder="1" applyAlignment="1" applyProtection="1">
      <alignment vertical="top" wrapText="1" readingOrder="1"/>
      <protection locked="0"/>
    </xf>
    <xf numFmtId="0" fontId="5" fillId="0" borderId="13" xfId="0" applyFont="1" applyFill="1" applyBorder="1" applyAlignment="1" applyProtection="1">
      <alignment horizontal="center" vertical="top" wrapText="1" readingOrder="1"/>
      <protection locked="0"/>
    </xf>
    <xf numFmtId="0" fontId="5" fillId="0" borderId="24" xfId="0" applyFont="1" applyFill="1" applyBorder="1" applyAlignment="1" applyProtection="1">
      <alignment horizontal="center" vertical="top" wrapText="1" readingOrder="1"/>
      <protection locked="0"/>
    </xf>
    <xf numFmtId="0" fontId="5" fillId="0" borderId="168" xfId="0" applyFont="1" applyFill="1" applyBorder="1" applyAlignment="1" applyProtection="1">
      <alignment horizontal="center" vertical="center" wrapText="1"/>
      <protection locked="0"/>
    </xf>
    <xf numFmtId="0" fontId="11" fillId="0" borderId="168" xfId="0" applyFont="1" applyFill="1" applyBorder="1" applyAlignment="1" applyProtection="1">
      <alignment horizontal="center" vertical="center" wrapText="1" shrinkToFit="1"/>
      <protection locked="0"/>
    </xf>
    <xf numFmtId="0" fontId="5" fillId="0" borderId="146" xfId="0" applyFont="1" applyFill="1" applyBorder="1" applyAlignment="1" applyProtection="1">
      <alignment horizontal="center" vertical="top" wrapText="1" readingOrder="1"/>
      <protection locked="0"/>
    </xf>
    <xf numFmtId="0" fontId="5" fillId="0" borderId="25" xfId="0" applyFont="1" applyFill="1" applyBorder="1" applyAlignment="1" applyProtection="1">
      <alignment horizontal="center" vertical="top" wrapText="1" readingOrder="1"/>
      <protection locked="0"/>
    </xf>
    <xf numFmtId="0" fontId="6" fillId="0" borderId="242" xfId="0" applyFont="1" applyFill="1" applyBorder="1" applyAlignment="1" applyProtection="1">
      <alignment horizontal="center" vertical="top" wrapText="1" shrinkToFit="1"/>
      <protection locked="0"/>
    </xf>
    <xf numFmtId="0" fontId="3" fillId="0" borderId="15" xfId="0" applyFont="1" applyFill="1" applyBorder="1" applyAlignment="1" applyProtection="1">
      <alignment horizontal="center" vertical="top" wrapText="1" readingOrder="1"/>
      <protection locked="0"/>
    </xf>
    <xf numFmtId="165" fontId="3" fillId="0" borderId="13" xfId="0" applyNumberFormat="1" applyFont="1" applyFill="1" applyBorder="1" applyAlignment="1" applyProtection="1">
      <alignment vertical="top" wrapText="1" readingOrder="1"/>
      <protection locked="0"/>
    </xf>
    <xf numFmtId="0" fontId="5" fillId="0" borderId="58" xfId="0" applyFont="1" applyFill="1" applyBorder="1" applyAlignment="1" applyProtection="1">
      <alignment horizontal="center" vertical="top" wrapText="1" readingOrder="1"/>
      <protection locked="0"/>
    </xf>
    <xf numFmtId="165" fontId="5" fillId="0" borderId="58" xfId="0" applyNumberFormat="1" applyFont="1" applyFill="1" applyBorder="1" applyAlignment="1" applyProtection="1">
      <alignment vertical="top" wrapText="1" readingOrder="1"/>
      <protection locked="0"/>
    </xf>
    <xf numFmtId="0" fontId="6" fillId="0" borderId="242" xfId="0" applyFont="1" applyFill="1" applyBorder="1" applyAlignment="1" applyProtection="1">
      <alignment vertical="top" wrapText="1" shrinkToFit="1"/>
      <protection locked="0"/>
    </xf>
    <xf numFmtId="0" fontId="3" fillId="0" borderId="90" xfId="0" applyFont="1" applyFill="1" applyBorder="1" applyAlignment="1" applyProtection="1">
      <alignment horizontal="center" vertical="top" wrapText="1" readingOrder="1"/>
      <protection locked="0"/>
    </xf>
    <xf numFmtId="0" fontId="5" fillId="0" borderId="52" xfId="0" applyFont="1" applyFill="1" applyBorder="1" applyAlignment="1" applyProtection="1">
      <alignment horizontal="center" vertical="top" wrapText="1" readingOrder="1"/>
      <protection locked="0"/>
    </xf>
    <xf numFmtId="0" fontId="5" fillId="0" borderId="80" xfId="0" applyFont="1" applyFill="1" applyBorder="1" applyAlignment="1" applyProtection="1">
      <alignment vertical="top" wrapText="1" readingOrder="1"/>
      <protection locked="0"/>
    </xf>
    <xf numFmtId="0" fontId="5" fillId="0" borderId="80" xfId="0" applyFont="1" applyFill="1" applyBorder="1" applyAlignment="1" applyProtection="1">
      <alignment horizontal="center" vertical="top" wrapText="1" readingOrder="1"/>
      <protection locked="0"/>
    </xf>
    <xf numFmtId="0" fontId="3" fillId="0" borderId="95" xfId="0" applyFont="1" applyFill="1" applyBorder="1" applyAlignment="1" applyProtection="1">
      <alignment horizontal="center" vertical="top" wrapText="1" readingOrder="1"/>
      <protection locked="0"/>
    </xf>
    <xf numFmtId="165" fontId="5" fillId="0" borderId="80" xfId="0" applyNumberFormat="1" applyFont="1" applyFill="1" applyBorder="1" applyAlignment="1" applyProtection="1">
      <alignment vertical="top" wrapText="1" readingOrder="1"/>
      <protection locked="0"/>
    </xf>
    <xf numFmtId="0" fontId="3" fillId="0" borderId="95" xfId="0" applyFont="1" applyFill="1" applyBorder="1" applyAlignment="1" applyProtection="1">
      <alignment vertical="top" wrapText="1" readingOrder="1"/>
      <protection locked="0"/>
    </xf>
    <xf numFmtId="0" fontId="5" fillId="0" borderId="95" xfId="0" applyFont="1" applyFill="1" applyBorder="1" applyAlignment="1" applyProtection="1">
      <alignment horizontal="center" vertical="top" wrapText="1" readingOrder="1"/>
      <protection locked="0"/>
    </xf>
    <xf numFmtId="0" fontId="4" fillId="0" borderId="95" xfId="0" applyFont="1" applyFill="1" applyBorder="1" applyAlignment="1" applyProtection="1">
      <alignment horizontal="center" vertical="top" wrapText="1" shrinkToFit="1"/>
      <protection locked="0"/>
    </xf>
    <xf numFmtId="165" fontId="3" fillId="0" borderId="95" xfId="0" applyNumberFormat="1" applyFont="1" applyFill="1" applyBorder="1" applyAlignment="1" applyProtection="1">
      <alignment vertical="top" wrapText="1" readingOrder="1"/>
      <protection locked="0"/>
    </xf>
    <xf numFmtId="0" fontId="3" fillId="0" borderId="52" xfId="0" applyFont="1" applyFill="1" applyBorder="1" applyAlignment="1" applyProtection="1">
      <alignment horizontal="center" vertical="top" wrapText="1" readingOrder="1"/>
      <protection locked="0"/>
    </xf>
    <xf numFmtId="0" fontId="6" fillId="0" borderId="52" xfId="0" applyFont="1" applyFill="1" applyBorder="1" applyAlignment="1" applyProtection="1">
      <alignment horizontal="center" vertical="top" wrapText="1" shrinkToFit="1"/>
      <protection locked="0"/>
    </xf>
    <xf numFmtId="165" fontId="3" fillId="0" borderId="52" xfId="0" applyNumberFormat="1" applyFont="1" applyFill="1" applyBorder="1" applyAlignment="1" applyProtection="1">
      <alignment vertical="top" wrapText="1" readingOrder="1"/>
      <protection locked="0"/>
    </xf>
    <xf numFmtId="0" fontId="3" fillId="0" borderId="113" xfId="0" applyFont="1" applyFill="1" applyBorder="1" applyAlignment="1" applyProtection="1">
      <alignment vertical="top" wrapText="1" readingOrder="1"/>
      <protection locked="0"/>
    </xf>
    <xf numFmtId="0" fontId="5" fillId="0" borderId="113" xfId="0" applyFont="1" applyFill="1" applyBorder="1" applyAlignment="1" applyProtection="1">
      <alignment horizontal="center" vertical="top" wrapText="1" readingOrder="1"/>
      <protection locked="0"/>
    </xf>
    <xf numFmtId="0" fontId="3" fillId="0" borderId="113" xfId="0" applyFont="1" applyFill="1" applyBorder="1" applyAlignment="1" applyProtection="1">
      <alignment horizontal="center" vertical="top" wrapText="1" readingOrder="1"/>
      <protection locked="0"/>
    </xf>
    <xf numFmtId="0" fontId="6" fillId="0" borderId="113" xfId="0" applyFont="1" applyFill="1" applyBorder="1" applyAlignment="1" applyProtection="1">
      <alignment horizontal="center" vertical="top" wrapText="1" shrinkToFit="1"/>
      <protection locked="0"/>
    </xf>
    <xf numFmtId="165" fontId="3" fillId="0" borderId="113" xfId="0" applyNumberFormat="1" applyFont="1" applyFill="1" applyBorder="1" applyAlignment="1" applyProtection="1">
      <alignment vertical="top" wrapText="1" readingOrder="1"/>
      <protection locked="0"/>
    </xf>
    <xf numFmtId="0" fontId="5" fillId="0" borderId="52" xfId="0" applyFont="1" applyFill="1" applyBorder="1" applyAlignment="1" applyProtection="1">
      <alignment vertical="top" wrapText="1" readingOrder="1"/>
      <protection locked="0"/>
    </xf>
    <xf numFmtId="49" fontId="5" fillId="0" borderId="52" xfId="0" applyNumberFormat="1" applyFont="1" applyFill="1" applyBorder="1" applyAlignment="1" applyProtection="1">
      <alignment horizontal="center" vertical="top" wrapText="1" readingOrder="1"/>
      <protection locked="0"/>
    </xf>
    <xf numFmtId="0" fontId="3" fillId="0" borderId="16" xfId="0" applyFont="1" applyFill="1" applyBorder="1" applyAlignment="1" applyProtection="1">
      <alignment vertical="top" wrapText="1" readingOrder="1"/>
      <protection locked="0"/>
    </xf>
    <xf numFmtId="0" fontId="11" fillId="0" borderId="53" xfId="0" applyFont="1" applyFill="1" applyBorder="1" applyAlignment="1" applyProtection="1">
      <alignment horizontal="center" vertical="center" wrapText="1" shrinkToFit="1"/>
      <protection locked="0"/>
    </xf>
    <xf numFmtId="165" fontId="5" fillId="0" borderId="53" xfId="0" applyNumberFormat="1" applyFont="1" applyFill="1" applyBorder="1" applyAlignment="1" applyProtection="1">
      <alignment vertical="top" wrapText="1" readingOrder="1"/>
      <protection locked="0"/>
    </xf>
    <xf numFmtId="49" fontId="5" fillId="0" borderId="95" xfId="0" applyNumberFormat="1" applyFont="1" applyFill="1" applyBorder="1" applyAlignment="1" applyProtection="1">
      <alignment horizontal="center" vertical="top" wrapText="1" readingOrder="1"/>
      <protection locked="0"/>
    </xf>
    <xf numFmtId="0" fontId="3" fillId="0" borderId="128" xfId="0" applyFont="1" applyFill="1" applyBorder="1" applyAlignment="1" applyProtection="1">
      <alignment vertical="top" wrapText="1" readingOrder="1"/>
      <protection locked="0"/>
    </xf>
    <xf numFmtId="0" fontId="3" fillId="0" borderId="127" xfId="0" applyFont="1" applyFill="1" applyBorder="1" applyAlignment="1" applyProtection="1">
      <alignment vertical="top" wrapText="1" readingOrder="1"/>
      <protection locked="0"/>
    </xf>
    <xf numFmtId="0" fontId="3" fillId="0" borderId="139" xfId="0" applyFont="1" applyFill="1" applyBorder="1" applyAlignment="1" applyProtection="1">
      <alignment vertical="top" wrapText="1" readingOrder="1"/>
      <protection locked="0"/>
    </xf>
    <xf numFmtId="0" fontId="3" fillId="0" borderId="256" xfId="0" applyFont="1" applyFill="1" applyBorder="1" applyAlignment="1" applyProtection="1">
      <alignment vertical="top" wrapText="1" readingOrder="1"/>
      <protection locked="0"/>
    </xf>
    <xf numFmtId="0" fontId="3" fillId="0" borderId="253" xfId="0" applyFont="1" applyFill="1" applyBorder="1" applyAlignment="1" applyProtection="1">
      <alignment vertical="top" wrapText="1" readingOrder="1"/>
      <protection locked="0"/>
    </xf>
    <xf numFmtId="0" fontId="3" fillId="0" borderId="261" xfId="0" applyFont="1" applyFill="1" applyBorder="1" applyAlignment="1" applyProtection="1">
      <alignment vertical="top" wrapText="1" readingOrder="1"/>
      <protection locked="0"/>
    </xf>
    <xf numFmtId="0" fontId="4" fillId="0" borderId="52" xfId="0" applyFont="1" applyFill="1" applyBorder="1" applyAlignment="1" applyProtection="1">
      <alignment horizontal="center" vertical="top" wrapText="1" shrinkToFit="1"/>
      <protection locked="0"/>
    </xf>
    <xf numFmtId="49" fontId="3" fillId="0" borderId="113" xfId="0" applyNumberFormat="1" applyFont="1" applyFill="1" applyBorder="1" applyAlignment="1" applyProtection="1">
      <alignment horizontal="center" vertical="top" wrapText="1" readingOrder="1"/>
      <protection locked="0"/>
    </xf>
    <xf numFmtId="0" fontId="5" fillId="0" borderId="5" xfId="0" applyFont="1" applyFill="1" applyBorder="1" applyAlignment="1" applyProtection="1">
      <alignment vertical="top" wrapText="1" readingOrder="1"/>
      <protection locked="0"/>
    </xf>
    <xf numFmtId="0" fontId="5" fillId="0" borderId="5" xfId="0" applyFont="1" applyFill="1" applyBorder="1" applyAlignment="1" applyProtection="1">
      <alignment horizontal="center" vertical="top" wrapText="1" readingOrder="1"/>
      <protection locked="0"/>
    </xf>
    <xf numFmtId="0" fontId="5" fillId="0" borderId="242" xfId="0" applyFont="1" applyFill="1" applyBorder="1" applyAlignment="1" applyProtection="1">
      <alignment vertical="top" wrapText="1" readingOrder="1"/>
      <protection locked="0"/>
    </xf>
    <xf numFmtId="0" fontId="5" fillId="0" borderId="5" xfId="0" applyFont="1" applyFill="1" applyBorder="1" applyAlignment="1" applyProtection="1">
      <alignment horizontal="center" vertical="center" wrapText="1" shrinkToFit="1"/>
      <protection locked="0"/>
    </xf>
    <xf numFmtId="0" fontId="5" fillId="0" borderId="5" xfId="0" applyFont="1" applyFill="1" applyBorder="1" applyAlignment="1" applyProtection="1">
      <alignment horizontal="center" vertical="top" wrapText="1" shrinkToFit="1"/>
      <protection locked="0"/>
    </xf>
    <xf numFmtId="165" fontId="5" fillId="0" borderId="5" xfId="0" applyNumberFormat="1" applyFont="1" applyFill="1" applyBorder="1" applyAlignment="1" applyProtection="1">
      <alignment vertical="top" wrapText="1" readingOrder="1"/>
      <protection locked="0"/>
    </xf>
    <xf numFmtId="0" fontId="5" fillId="0" borderId="95" xfId="0" applyFont="1" applyFill="1" applyBorder="1" applyAlignment="1" applyProtection="1">
      <alignment vertical="top" wrapText="1" readingOrder="1"/>
      <protection locked="0"/>
    </xf>
    <xf numFmtId="0" fontId="4" fillId="0" borderId="52" xfId="0" applyFont="1" applyFill="1" applyBorder="1" applyAlignment="1" applyProtection="1">
      <alignment horizontal="center" vertical="center" wrapText="1" shrinkToFit="1"/>
      <protection locked="0"/>
    </xf>
    <xf numFmtId="0" fontId="5" fillId="0" borderId="90" xfId="0" applyFont="1" applyFill="1" applyBorder="1" applyAlignment="1" applyProtection="1">
      <alignment horizontal="center" vertical="top" wrapText="1" readingOrder="1"/>
      <protection locked="0"/>
    </xf>
    <xf numFmtId="0" fontId="3" fillId="0" borderId="90" xfId="0" applyFont="1" applyFill="1" applyBorder="1" applyAlignment="1" applyProtection="1">
      <alignment vertical="top" wrapText="1" readingOrder="1"/>
      <protection locked="0"/>
    </xf>
    <xf numFmtId="0" fontId="4" fillId="0" borderId="90" xfId="0" applyFont="1" applyFill="1" applyBorder="1" applyAlignment="1" applyProtection="1">
      <alignment horizontal="center" vertical="top" wrapText="1" shrinkToFit="1"/>
      <protection locked="0"/>
    </xf>
    <xf numFmtId="14" fontId="3" fillId="0" borderId="5" xfId="0" applyNumberFormat="1" applyFont="1" applyFill="1" applyBorder="1" applyAlignment="1" applyProtection="1">
      <alignment vertical="top" wrapText="1" readingOrder="1"/>
      <protection locked="0"/>
    </xf>
    <xf numFmtId="0" fontId="3" fillId="0" borderId="5" xfId="1" applyFont="1" applyFill="1" applyBorder="1" applyAlignment="1">
      <alignment horizontal="center" vertical="center" wrapText="1"/>
    </xf>
    <xf numFmtId="0" fontId="3" fillId="0" borderId="5" xfId="0" applyFont="1" applyFill="1" applyBorder="1" applyAlignment="1" applyProtection="1">
      <alignment horizontal="center" vertical="center" wrapText="1" shrinkToFit="1"/>
      <protection locked="0"/>
    </xf>
    <xf numFmtId="0" fontId="3" fillId="0" borderId="5" xfId="0" applyFont="1" applyFill="1" applyBorder="1" applyAlignment="1" applyProtection="1">
      <alignment horizontal="left" vertical="top" wrapText="1" readingOrder="1"/>
      <protection locked="0"/>
    </xf>
    <xf numFmtId="0" fontId="5" fillId="0" borderId="5" xfId="1" applyFont="1" applyFill="1" applyBorder="1" applyAlignment="1">
      <alignment horizontal="center" vertical="center" wrapText="1"/>
    </xf>
    <xf numFmtId="0" fontId="12" fillId="0" borderId="117" xfId="0" applyFont="1" applyFill="1" applyBorder="1" applyAlignment="1" applyProtection="1">
      <alignment vertical="top" wrapText="1" readingOrder="1"/>
      <protection locked="0"/>
    </xf>
    <xf numFmtId="0" fontId="3" fillId="0" borderId="117" xfId="0" applyFont="1" applyFill="1" applyBorder="1" applyAlignment="1" applyProtection="1">
      <alignment vertical="top" wrapText="1" readingOrder="1"/>
      <protection locked="0"/>
    </xf>
    <xf numFmtId="0" fontId="3" fillId="0" borderId="117" xfId="0" applyFont="1" applyFill="1" applyBorder="1" applyAlignment="1" applyProtection="1">
      <alignment horizontal="center" vertical="top" wrapText="1" shrinkToFit="1"/>
      <protection locked="0"/>
    </xf>
    <xf numFmtId="49" fontId="3" fillId="0" borderId="117" xfId="0" applyNumberFormat="1" applyFont="1" applyFill="1" applyBorder="1" applyAlignment="1" applyProtection="1">
      <alignment horizontal="center" vertical="top" wrapText="1" readingOrder="1"/>
      <protection locked="0"/>
    </xf>
    <xf numFmtId="165" fontId="3" fillId="0" borderId="117" xfId="0" applyNumberFormat="1" applyFont="1" applyFill="1" applyBorder="1" applyAlignment="1" applyProtection="1">
      <alignment vertical="top" wrapText="1" readingOrder="1"/>
      <protection locked="0"/>
    </xf>
    <xf numFmtId="0" fontId="12" fillId="0" borderId="53" xfId="0" applyFont="1" applyFill="1" applyBorder="1" applyAlignment="1" applyProtection="1">
      <alignment vertical="top" wrapText="1" readingOrder="1"/>
      <protection locked="0"/>
    </xf>
    <xf numFmtId="0" fontId="3" fillId="0" borderId="174" xfId="0" applyFont="1" applyFill="1" applyBorder="1" applyAlignment="1" applyProtection="1">
      <alignment vertical="top" wrapText="1" readingOrder="1"/>
      <protection locked="0"/>
    </xf>
    <xf numFmtId="165" fontId="3" fillId="0" borderId="53" xfId="0" applyNumberFormat="1" applyFont="1" applyFill="1" applyBorder="1" applyAlignment="1" applyProtection="1">
      <alignment vertical="top" wrapText="1" readingOrder="1"/>
      <protection locked="0"/>
    </xf>
    <xf numFmtId="0" fontId="3" fillId="0" borderId="53" xfId="0" applyFont="1" applyFill="1" applyBorder="1" applyAlignment="1" applyProtection="1">
      <alignment vertical="top" wrapText="1" readingOrder="1"/>
      <protection locked="0"/>
    </xf>
    <xf numFmtId="0" fontId="4" fillId="0" borderId="53" xfId="0" applyFont="1" applyFill="1" applyBorder="1" applyAlignment="1" applyProtection="1">
      <alignment vertical="top" wrapText="1" shrinkToFit="1"/>
      <protection locked="0"/>
    </xf>
    <xf numFmtId="0" fontId="6" fillId="0" borderId="53" xfId="0" applyFont="1" applyFill="1" applyBorder="1" applyAlignment="1" applyProtection="1">
      <alignment vertical="top" wrapText="1" shrinkToFit="1"/>
      <protection locked="0"/>
    </xf>
    <xf numFmtId="0" fontId="6" fillId="0" borderId="53" xfId="0" applyFont="1" applyFill="1" applyBorder="1" applyAlignment="1" applyProtection="1">
      <alignment horizontal="center" vertical="top" wrapText="1" shrinkToFit="1"/>
      <protection locked="0"/>
    </xf>
    <xf numFmtId="0" fontId="4" fillId="0" borderId="174" xfId="0" applyFont="1" applyFill="1" applyBorder="1" applyAlignment="1" applyProtection="1">
      <alignment vertical="top" wrapText="1" shrinkToFit="1"/>
      <protection locked="0"/>
    </xf>
    <xf numFmtId="0" fontId="6" fillId="0" borderId="174" xfId="0" applyFont="1" applyFill="1" applyBorder="1" applyAlignment="1" applyProtection="1">
      <alignment vertical="top" wrapText="1" shrinkToFit="1"/>
      <protection locked="0"/>
    </xf>
    <xf numFmtId="165" fontId="3" fillId="0" borderId="174" xfId="0" applyNumberFormat="1" applyFont="1" applyFill="1" applyBorder="1" applyAlignment="1" applyProtection="1">
      <alignment vertical="top" wrapText="1" readingOrder="1"/>
      <protection locked="0"/>
    </xf>
    <xf numFmtId="0" fontId="3" fillId="0" borderId="247" xfId="0" applyFont="1" applyFill="1" applyBorder="1" applyAlignment="1" applyProtection="1">
      <alignment vertical="top" wrapText="1" readingOrder="1"/>
      <protection locked="0"/>
    </xf>
    <xf numFmtId="49" fontId="3" fillId="0" borderId="0" xfId="0" applyNumberFormat="1" applyFont="1" applyFill="1" applyAlignment="1" applyProtection="1">
      <alignment horizontal="center" vertical="top" wrapText="1" readingOrder="1"/>
      <protection locked="0"/>
    </xf>
    <xf numFmtId="0" fontId="4" fillId="0" borderId="247" xfId="0" applyFont="1" applyFill="1" applyBorder="1" applyAlignment="1" applyProtection="1">
      <alignment vertical="top" wrapText="1" shrinkToFit="1"/>
      <protection locked="0"/>
    </xf>
    <xf numFmtId="0" fontId="6" fillId="0" borderId="247" xfId="0" applyFont="1" applyFill="1" applyBorder="1" applyAlignment="1" applyProtection="1">
      <alignment vertical="top" wrapText="1" shrinkToFit="1"/>
      <protection locked="0"/>
    </xf>
    <xf numFmtId="0" fontId="3" fillId="0" borderId="247" xfId="0" applyFont="1" applyFill="1" applyBorder="1" applyAlignment="1" applyProtection="1">
      <alignment horizontal="center" vertical="top" wrapText="1" shrinkToFit="1"/>
      <protection locked="0"/>
    </xf>
    <xf numFmtId="49" fontId="3" fillId="0" borderId="247" xfId="0" applyNumberFormat="1" applyFont="1" applyFill="1" applyBorder="1" applyAlignment="1" applyProtection="1">
      <alignment horizontal="center" vertical="top" wrapText="1" readingOrder="1"/>
      <protection locked="0"/>
    </xf>
    <xf numFmtId="165" fontId="3" fillId="0" borderId="247" xfId="0" applyNumberFormat="1" applyFont="1" applyFill="1" applyBorder="1" applyAlignment="1" applyProtection="1">
      <alignment vertical="top" wrapText="1" readingOrder="1"/>
      <protection locked="0"/>
    </xf>
    <xf numFmtId="0" fontId="12" fillId="0" borderId="174" xfId="0" applyFont="1" applyFill="1" applyBorder="1" applyAlignment="1" applyProtection="1">
      <alignment vertical="top" wrapText="1" readingOrder="1"/>
      <protection locked="0"/>
    </xf>
    <xf numFmtId="0" fontId="12" fillId="0" borderId="53" xfId="0" applyFont="1" applyFill="1" applyBorder="1" applyAlignment="1" applyProtection="1">
      <alignment horizontal="center" vertical="top" wrapText="1" readingOrder="1"/>
      <protection locked="0"/>
    </xf>
    <xf numFmtId="0" fontId="13" fillId="0" borderId="155" xfId="0" applyFont="1" applyFill="1" applyBorder="1" applyAlignment="1" applyProtection="1">
      <alignment vertical="top" wrapText="1" shrinkToFit="1"/>
      <protection locked="0"/>
    </xf>
    <xf numFmtId="0" fontId="14" fillId="0" borderId="53" xfId="0" applyFont="1" applyFill="1" applyBorder="1" applyAlignment="1" applyProtection="1">
      <alignment vertical="top" wrapText="1" shrinkToFit="1"/>
      <protection locked="0"/>
    </xf>
    <xf numFmtId="0" fontId="12" fillId="0" borderId="53" xfId="0" applyFont="1" applyFill="1" applyBorder="1" applyAlignment="1" applyProtection="1">
      <alignment horizontal="center" vertical="top" wrapText="1" shrinkToFit="1"/>
      <protection locked="0"/>
    </xf>
    <xf numFmtId="0" fontId="14" fillId="0" borderId="53" xfId="0" applyFont="1" applyFill="1" applyBorder="1" applyAlignment="1" applyProtection="1">
      <alignment horizontal="center" vertical="top" wrapText="1" shrinkToFit="1"/>
      <protection locked="0"/>
    </xf>
    <xf numFmtId="49" fontId="12" fillId="0" borderId="53" xfId="0" applyNumberFormat="1" applyFont="1" applyFill="1" applyBorder="1" applyAlignment="1" applyProtection="1">
      <alignment horizontal="center" vertical="top" wrapText="1" readingOrder="1"/>
      <protection locked="0"/>
    </xf>
    <xf numFmtId="165" fontId="12" fillId="0" borderId="53" xfId="0" applyNumberFormat="1" applyFont="1" applyFill="1" applyBorder="1" applyAlignment="1" applyProtection="1">
      <alignment vertical="top" wrapText="1" readingOrder="1"/>
      <protection locked="0"/>
    </xf>
    <xf numFmtId="0" fontId="12" fillId="0" borderId="0" xfId="0" applyFont="1" applyFill="1"/>
    <xf numFmtId="0" fontId="15" fillId="0" borderId="0" xfId="0" applyFont="1" applyFill="1"/>
    <xf numFmtId="0" fontId="5" fillId="0" borderId="28" xfId="0" applyFont="1" applyFill="1" applyBorder="1" applyAlignment="1" applyProtection="1">
      <alignment vertical="top" wrapText="1" readingOrder="1"/>
      <protection locked="0"/>
    </xf>
    <xf numFmtId="0" fontId="5" fillId="0" borderId="250" xfId="0" applyFont="1" applyFill="1" applyBorder="1" applyAlignment="1" applyProtection="1">
      <alignment horizontal="center" vertical="top" wrapText="1" readingOrder="1"/>
      <protection locked="0"/>
    </xf>
    <xf numFmtId="0" fontId="4" fillId="0" borderId="5" xfId="0" applyFont="1" applyFill="1" applyBorder="1" applyAlignment="1" applyProtection="1">
      <alignment horizontal="center" vertical="center" wrapText="1" shrinkToFit="1"/>
      <protection locked="0"/>
    </xf>
    <xf numFmtId="0" fontId="3" fillId="0" borderId="249" xfId="0" applyFont="1" applyFill="1" applyBorder="1" applyAlignment="1" applyProtection="1">
      <alignment vertical="top" wrapText="1" readingOrder="1"/>
      <protection locked="0"/>
    </xf>
    <xf numFmtId="0" fontId="3" fillId="0" borderId="251" xfId="0" applyFont="1" applyFill="1" applyBorder="1" applyAlignment="1" applyProtection="1">
      <alignment vertical="top" wrapText="1" readingOrder="1"/>
      <protection locked="0"/>
    </xf>
    <xf numFmtId="0" fontId="3" fillId="0" borderId="44" xfId="0" applyFont="1" applyFill="1" applyBorder="1" applyAlignment="1" applyProtection="1">
      <alignment vertical="top" wrapText="1" readingOrder="1"/>
      <protection locked="0"/>
    </xf>
    <xf numFmtId="0" fontId="3" fillId="0" borderId="44" xfId="0" applyFont="1" applyFill="1" applyBorder="1" applyAlignment="1" applyProtection="1">
      <alignment horizontal="center" vertical="top" wrapText="1" readingOrder="1"/>
      <protection locked="0"/>
    </xf>
    <xf numFmtId="0" fontId="5" fillId="0" borderId="44" xfId="0" applyFont="1" applyFill="1" applyBorder="1" applyAlignment="1" applyProtection="1">
      <alignment horizontal="center" vertical="top" wrapText="1" readingOrder="1"/>
      <protection locked="0"/>
    </xf>
    <xf numFmtId="0" fontId="5" fillId="0" borderId="247" xfId="0" applyFont="1" applyFill="1" applyBorder="1" applyAlignment="1" applyProtection="1">
      <alignment horizontal="center" vertical="top" wrapText="1" readingOrder="1"/>
      <protection locked="0"/>
    </xf>
    <xf numFmtId="0" fontId="3" fillId="0" borderId="56" xfId="0" applyFont="1" applyFill="1" applyBorder="1" applyAlignment="1" applyProtection="1">
      <alignment vertical="top" wrapText="1" shrinkToFit="1"/>
      <protection locked="0"/>
    </xf>
    <xf numFmtId="0" fontId="4" fillId="0" borderId="95" xfId="0" applyFont="1" applyFill="1" applyBorder="1" applyAlignment="1">
      <alignment vertical="top" wrapText="1"/>
    </xf>
    <xf numFmtId="0" fontId="3" fillId="0" borderId="95" xfId="0" applyFont="1" applyFill="1" applyBorder="1" applyAlignment="1" applyProtection="1">
      <alignment vertical="top" wrapText="1" shrinkToFit="1"/>
      <protection locked="0"/>
    </xf>
    <xf numFmtId="0" fontId="3" fillId="0" borderId="95" xfId="0" applyFont="1" applyFill="1" applyBorder="1" applyAlignment="1" applyProtection="1">
      <alignment vertical="center" wrapText="1" shrinkToFit="1"/>
      <protection locked="0"/>
    </xf>
    <xf numFmtId="0" fontId="3" fillId="0" borderId="95" xfId="0" applyFont="1" applyFill="1" applyBorder="1" applyAlignment="1" applyProtection="1">
      <alignment horizontal="center" vertical="top" wrapText="1" shrinkToFit="1"/>
      <protection locked="0"/>
    </xf>
    <xf numFmtId="49" fontId="3" fillId="0" borderId="95" xfId="0" applyNumberFormat="1" applyFont="1" applyFill="1" applyBorder="1" applyAlignment="1" applyProtection="1">
      <alignment horizontal="center" vertical="top" wrapText="1" readingOrder="1"/>
      <protection locked="0"/>
    </xf>
    <xf numFmtId="0" fontId="4" fillId="0" borderId="52" xfId="0" applyFont="1" applyFill="1" applyBorder="1" applyAlignment="1">
      <alignment vertical="top" wrapText="1"/>
    </xf>
    <xf numFmtId="0" fontId="3" fillId="0" borderId="52" xfId="0" applyFont="1" applyFill="1" applyBorder="1" applyAlignment="1" applyProtection="1">
      <alignment vertical="top" wrapText="1" shrinkToFit="1"/>
      <protection locked="0"/>
    </xf>
    <xf numFmtId="0" fontId="3" fillId="0" borderId="52" xfId="0" applyFont="1" applyFill="1" applyBorder="1" applyAlignment="1" applyProtection="1">
      <alignment horizontal="center" vertical="center" wrapText="1" shrinkToFit="1"/>
      <protection locked="0"/>
    </xf>
    <xf numFmtId="0" fontId="3" fillId="0" borderId="0" xfId="0" applyFont="1" applyFill="1" applyAlignment="1" applyProtection="1">
      <alignment vertical="top" wrapText="1" readingOrder="1"/>
      <protection locked="0"/>
    </xf>
    <xf numFmtId="0" fontId="12" fillId="0" borderId="0" xfId="0" applyFont="1" applyFill="1" applyAlignment="1" applyProtection="1">
      <alignment vertical="top" wrapText="1" readingOrder="1"/>
      <protection locked="0"/>
    </xf>
    <xf numFmtId="0" fontId="12" fillId="0" borderId="56" xfId="0" applyFont="1" applyFill="1" applyBorder="1" applyAlignment="1" applyProtection="1">
      <alignment vertical="top" wrapText="1" readingOrder="1"/>
      <protection locked="0"/>
    </xf>
    <xf numFmtId="49" fontId="3" fillId="0" borderId="56" xfId="0" applyNumberFormat="1" applyFont="1" applyFill="1" applyBorder="1" applyAlignment="1" applyProtection="1">
      <alignment horizontal="center" vertical="top" wrapText="1" readingOrder="1"/>
      <protection locked="0"/>
    </xf>
    <xf numFmtId="0" fontId="3" fillId="0" borderId="56" xfId="0" applyFont="1" applyFill="1" applyBorder="1" applyAlignment="1" applyProtection="1">
      <alignment horizontal="center" vertical="top" wrapText="1" shrinkToFit="1"/>
      <protection locked="0"/>
    </xf>
    <xf numFmtId="165" fontId="3" fillId="0" borderId="56" xfId="0" applyNumberFormat="1" applyFont="1" applyFill="1" applyBorder="1" applyAlignment="1" applyProtection="1">
      <alignment vertical="top" wrapText="1" readingOrder="1"/>
      <protection locked="0"/>
    </xf>
    <xf numFmtId="0" fontId="3" fillId="0" borderId="56" xfId="0" applyFont="1" applyFill="1" applyBorder="1" applyAlignment="1" applyProtection="1">
      <alignment vertical="top" wrapText="1" readingOrder="1"/>
      <protection locked="0"/>
    </xf>
    <xf numFmtId="0" fontId="3" fillId="0" borderId="159" xfId="0" applyFont="1" applyFill="1" applyBorder="1" applyAlignment="1" applyProtection="1">
      <alignment vertical="top" wrapText="1" shrinkToFit="1"/>
      <protection locked="0"/>
    </xf>
    <xf numFmtId="0" fontId="3" fillId="0" borderId="159" xfId="0" applyFont="1" applyFill="1" applyBorder="1" applyAlignment="1" applyProtection="1">
      <alignment horizontal="center" vertical="top" wrapText="1" shrinkToFit="1"/>
      <protection locked="0"/>
    </xf>
    <xf numFmtId="14" fontId="3" fillId="0" borderId="56" xfId="0" applyNumberFormat="1" applyFont="1" applyFill="1" applyBorder="1" applyAlignment="1" applyProtection="1">
      <alignment horizontal="center" vertical="top" wrapText="1" shrinkToFit="1"/>
      <protection locked="0"/>
    </xf>
    <xf numFmtId="49" fontId="3" fillId="0" borderId="139" xfId="0" applyNumberFormat="1" applyFont="1" applyFill="1" applyBorder="1" applyAlignment="1" applyProtection="1">
      <alignment horizontal="center" vertical="top" wrapText="1" readingOrder="1"/>
      <protection locked="0"/>
    </xf>
    <xf numFmtId="0" fontId="3" fillId="0" borderId="1" xfId="0" applyFont="1" applyFill="1" applyBorder="1" applyAlignment="1" applyProtection="1">
      <alignment horizontal="center" vertical="top" wrapText="1" shrinkToFit="1"/>
      <protection locked="0"/>
    </xf>
    <xf numFmtId="14" fontId="3" fillId="0" borderId="1" xfId="0" applyNumberFormat="1" applyFont="1" applyFill="1" applyBorder="1" applyAlignment="1" applyProtection="1">
      <alignment horizontal="center" vertical="top" wrapText="1" shrinkToFit="1"/>
      <protection locked="0"/>
    </xf>
    <xf numFmtId="0" fontId="3" fillId="0" borderId="139" xfId="0" applyFont="1" applyFill="1" applyBorder="1" applyAlignment="1" applyProtection="1">
      <alignment horizontal="center" vertical="top" wrapText="1" shrinkToFit="1"/>
      <protection locked="0"/>
    </xf>
    <xf numFmtId="0" fontId="3" fillId="0" borderId="56" xfId="0" applyFont="1" applyFill="1" applyBorder="1" applyAlignment="1" applyProtection="1">
      <alignment horizontal="center" vertical="top" wrapText="1" readingOrder="1"/>
      <protection locked="0"/>
    </xf>
    <xf numFmtId="165" fontId="3" fillId="0" borderId="139" xfId="0" applyNumberFormat="1" applyFont="1" applyFill="1" applyBorder="1" applyAlignment="1" applyProtection="1">
      <alignment vertical="top" wrapText="1" readingOrder="1"/>
      <protection locked="0"/>
    </xf>
    <xf numFmtId="49" fontId="3" fillId="0" borderId="50" xfId="0" applyNumberFormat="1" applyFont="1" applyFill="1" applyBorder="1" applyAlignment="1" applyProtection="1">
      <alignment horizontal="center" vertical="top" wrapText="1" readingOrder="1"/>
      <protection locked="0"/>
    </xf>
    <xf numFmtId="0" fontId="3" fillId="0" borderId="50" xfId="0" applyFont="1" applyFill="1" applyBorder="1" applyAlignment="1" applyProtection="1">
      <alignment horizontal="center" vertical="top" wrapText="1" readingOrder="1"/>
      <protection locked="0"/>
    </xf>
    <xf numFmtId="165" fontId="3" fillId="0" borderId="50" xfId="0" applyNumberFormat="1" applyFont="1" applyFill="1" applyBorder="1" applyAlignment="1" applyProtection="1">
      <alignment vertical="top" wrapText="1" readingOrder="1"/>
      <protection locked="0"/>
    </xf>
    <xf numFmtId="0" fontId="5" fillId="0" borderId="3" xfId="0" applyFont="1" applyFill="1" applyBorder="1" applyAlignment="1" applyProtection="1">
      <alignment horizontal="left" vertical="top" wrapText="1" readingOrder="1"/>
      <protection locked="0"/>
    </xf>
    <xf numFmtId="49" fontId="5" fillId="0" borderId="3" xfId="0" applyNumberFormat="1" applyFont="1" applyFill="1" applyBorder="1" applyAlignment="1" applyProtection="1">
      <alignment horizontal="center" vertical="top" wrapText="1" readingOrder="1"/>
      <protection locked="0"/>
    </xf>
    <xf numFmtId="0" fontId="3" fillId="0" borderId="3" xfId="0" applyFont="1" applyFill="1" applyBorder="1" applyAlignment="1" applyProtection="1">
      <alignment horizontal="center" vertical="top" wrapText="1" shrinkToFit="1"/>
      <protection locked="0"/>
    </xf>
    <xf numFmtId="14" fontId="3" fillId="0" borderId="3" xfId="0" applyNumberFormat="1" applyFont="1" applyFill="1" applyBorder="1" applyAlignment="1" applyProtection="1">
      <alignment horizontal="center" vertical="top" wrapText="1" shrinkToFit="1"/>
      <protection locked="0"/>
    </xf>
    <xf numFmtId="165" fontId="5" fillId="0" borderId="3" xfId="0" applyNumberFormat="1" applyFont="1" applyFill="1" applyBorder="1" applyAlignment="1" applyProtection="1">
      <alignment vertical="top" wrapText="1" readingOrder="1"/>
      <protection locked="0"/>
    </xf>
    <xf numFmtId="0" fontId="13" fillId="0" borderId="97" xfId="0" applyFont="1" applyFill="1" applyBorder="1" applyAlignment="1">
      <alignment vertical="top" wrapText="1"/>
    </xf>
    <xf numFmtId="0" fontId="3" fillId="0" borderId="108" xfId="0" applyFont="1" applyFill="1" applyBorder="1" applyAlignment="1" applyProtection="1">
      <alignment vertical="center" wrapText="1" shrinkToFit="1"/>
      <protection locked="0"/>
    </xf>
    <xf numFmtId="0" fontId="3" fillId="0" borderId="108" xfId="0" applyFont="1" applyFill="1" applyBorder="1" applyAlignment="1" applyProtection="1">
      <alignment horizontal="center" vertical="top" wrapText="1" shrinkToFit="1"/>
      <protection locked="0"/>
    </xf>
    <xf numFmtId="49" fontId="3" fillId="0" borderId="97" xfId="0" applyNumberFormat="1" applyFont="1" applyFill="1" applyBorder="1" applyAlignment="1" applyProtection="1">
      <alignment horizontal="center" vertical="top" wrapText="1" readingOrder="1"/>
      <protection locked="0"/>
    </xf>
    <xf numFmtId="165" fontId="3" fillId="0" borderId="97" xfId="0" applyNumberFormat="1" applyFont="1" applyFill="1" applyBorder="1" applyAlignment="1" applyProtection="1">
      <alignment vertical="top" wrapText="1" readingOrder="1"/>
      <protection locked="0"/>
    </xf>
    <xf numFmtId="0" fontId="3" fillId="0" borderId="53" xfId="0" applyFont="1" applyFill="1" applyBorder="1" applyAlignment="1" applyProtection="1">
      <alignment vertical="center" wrapText="1" shrinkToFit="1"/>
      <protection locked="0"/>
    </xf>
    <xf numFmtId="0" fontId="3" fillId="0" borderId="53" xfId="0" applyFont="1" applyFill="1" applyBorder="1" applyAlignment="1" applyProtection="1">
      <alignment horizontal="center" vertical="center" wrapText="1" shrinkToFit="1"/>
      <protection locked="0"/>
    </xf>
    <xf numFmtId="0" fontId="3" fillId="0" borderId="174" xfId="0" applyFont="1" applyFill="1" applyBorder="1" applyAlignment="1" applyProtection="1">
      <alignment horizontal="center" vertical="center" wrapText="1" shrinkToFit="1"/>
      <protection locked="0"/>
    </xf>
    <xf numFmtId="0" fontId="3" fillId="0" borderId="247" xfId="0" applyFont="1" applyFill="1" applyBorder="1" applyAlignment="1" applyProtection="1">
      <alignment horizontal="center" vertical="center" wrapText="1" shrinkToFit="1"/>
      <protection locked="0"/>
    </xf>
    <xf numFmtId="0" fontId="3" fillId="0" borderId="53" xfId="0" applyFont="1" applyFill="1" applyBorder="1" applyAlignment="1" applyProtection="1">
      <alignment horizontal="left" vertical="top" wrapText="1" readingOrder="1"/>
      <protection locked="0"/>
    </xf>
    <xf numFmtId="0" fontId="3" fillId="0" borderId="53" xfId="0" applyFont="1" applyFill="1" applyBorder="1" applyAlignment="1" applyProtection="1">
      <alignment horizontal="center" vertical="top" wrapText="1" readingOrder="1"/>
      <protection locked="0"/>
    </xf>
    <xf numFmtId="0" fontId="3" fillId="0" borderId="133" xfId="0" applyFont="1" applyFill="1" applyBorder="1" applyAlignment="1" applyProtection="1">
      <alignment horizontal="left" vertical="top" wrapText="1" readingOrder="1"/>
      <protection locked="0"/>
    </xf>
    <xf numFmtId="49" fontId="3" fillId="0" borderId="133" xfId="0" applyNumberFormat="1" applyFont="1" applyFill="1" applyBorder="1" applyAlignment="1" applyProtection="1">
      <alignment horizontal="center" vertical="top" wrapText="1" readingOrder="1"/>
      <protection locked="0"/>
    </xf>
    <xf numFmtId="49" fontId="3" fillId="0" borderId="53" xfId="0" applyNumberFormat="1" applyFont="1" applyFill="1" applyBorder="1" applyAlignment="1" applyProtection="1">
      <alignment vertical="top" wrapText="1" readingOrder="1"/>
      <protection locked="0"/>
    </xf>
    <xf numFmtId="0" fontId="3" fillId="0" borderId="158" xfId="0" applyFont="1" applyFill="1" applyBorder="1" applyAlignment="1" applyProtection="1">
      <alignment vertical="top" wrapText="1" shrinkToFit="1"/>
      <protection locked="0"/>
    </xf>
    <xf numFmtId="0" fontId="3" fillId="0" borderId="158" xfId="0" applyFont="1" applyFill="1" applyBorder="1" applyAlignment="1" applyProtection="1">
      <alignment horizontal="center" vertical="top" wrapText="1" shrinkToFit="1"/>
      <protection locked="0"/>
    </xf>
    <xf numFmtId="0" fontId="3" fillId="0" borderId="53" xfId="1" applyFont="1" applyFill="1" applyBorder="1" applyAlignment="1">
      <alignment horizontal="center" vertical="top" wrapText="1"/>
    </xf>
    <xf numFmtId="49" fontId="3" fillId="0" borderId="290" xfId="0" applyNumberFormat="1" applyFont="1" applyFill="1" applyBorder="1" applyAlignment="1" applyProtection="1">
      <alignment horizontal="center" vertical="top" wrapText="1" readingOrder="1"/>
      <protection locked="0"/>
    </xf>
    <xf numFmtId="14" fontId="3" fillId="0" borderId="290" xfId="0" applyNumberFormat="1" applyFont="1" applyFill="1" applyBorder="1" applyAlignment="1" applyProtection="1">
      <alignment horizontal="center" vertical="top" wrapText="1" shrinkToFit="1"/>
      <protection locked="0"/>
    </xf>
    <xf numFmtId="165" fontId="3" fillId="0" borderId="290" xfId="0" applyNumberFormat="1" applyFont="1" applyFill="1" applyBorder="1" applyAlignment="1" applyProtection="1">
      <alignment vertical="top" wrapText="1" readingOrder="1"/>
      <protection locked="0"/>
    </xf>
    <xf numFmtId="0" fontId="3" fillId="0" borderId="53" xfId="0" applyFont="1" applyFill="1" applyBorder="1" applyAlignment="1" applyProtection="1">
      <alignment vertical="top" wrapText="1" shrinkToFit="1"/>
      <protection locked="0"/>
    </xf>
    <xf numFmtId="0" fontId="3" fillId="0" borderId="265" xfId="0" applyFont="1" applyFill="1" applyBorder="1" applyAlignment="1" applyProtection="1">
      <alignment vertical="top" wrapText="1" readingOrder="1"/>
      <protection locked="0"/>
    </xf>
    <xf numFmtId="0" fontId="3" fillId="0" borderId="139" xfId="0" applyFont="1" applyFill="1" applyBorder="1" applyAlignment="1" applyProtection="1">
      <alignment horizontal="center" vertical="top" wrapText="1" readingOrder="1"/>
      <protection locked="0"/>
    </xf>
    <xf numFmtId="0" fontId="3" fillId="0" borderId="0" xfId="0" applyFont="1" applyFill="1" applyAlignment="1" applyProtection="1">
      <alignment horizontal="center" vertical="top" wrapText="1" readingOrder="1"/>
      <protection locked="0"/>
    </xf>
    <xf numFmtId="0" fontId="3" fillId="0" borderId="158" xfId="0" applyFont="1" applyFill="1" applyBorder="1" applyAlignment="1" applyProtection="1">
      <alignment horizontal="left" vertical="top" wrapText="1" readingOrder="1"/>
      <protection locked="0"/>
    </xf>
    <xf numFmtId="0" fontId="3" fillId="0" borderId="247" xfId="0" applyFont="1" applyFill="1" applyBorder="1" applyAlignment="1" applyProtection="1">
      <alignment horizontal="left" vertical="top" wrapText="1" readingOrder="1"/>
      <protection locked="0"/>
    </xf>
    <xf numFmtId="14" fontId="3" fillId="0" borderId="247" xfId="0" applyNumberFormat="1" applyFont="1" applyFill="1" applyBorder="1" applyAlignment="1" applyProtection="1">
      <alignment horizontal="center" vertical="top" wrapText="1" shrinkToFit="1"/>
      <protection locked="0"/>
    </xf>
    <xf numFmtId="0" fontId="3" fillId="0" borderId="133" xfId="0" applyFont="1" applyFill="1" applyBorder="1" applyAlignment="1" applyProtection="1">
      <alignment horizontal="center" vertical="top" wrapText="1" readingOrder="1"/>
      <protection locked="0"/>
    </xf>
    <xf numFmtId="0" fontId="3" fillId="0" borderId="265" xfId="0" applyFont="1" applyFill="1" applyBorder="1" applyAlignment="1" applyProtection="1">
      <alignment horizontal="left" vertical="top" wrapText="1" readingOrder="1"/>
      <protection locked="0"/>
    </xf>
    <xf numFmtId="49" fontId="3" fillId="0" borderId="265" xfId="0" applyNumberFormat="1" applyFont="1" applyFill="1" applyBorder="1" applyAlignment="1" applyProtection="1">
      <alignment horizontal="center" vertical="top" wrapText="1" readingOrder="1"/>
      <protection locked="0"/>
    </xf>
    <xf numFmtId="0" fontId="3" fillId="0" borderId="265" xfId="0" applyFont="1" applyFill="1" applyBorder="1" applyAlignment="1" applyProtection="1">
      <alignment horizontal="center" vertical="top" wrapText="1" shrinkToFit="1"/>
      <protection locked="0"/>
    </xf>
    <xf numFmtId="0" fontId="4" fillId="0" borderId="53" xfId="0" applyFont="1" applyFill="1" applyBorder="1" applyAlignment="1">
      <alignment vertical="top" wrapText="1"/>
    </xf>
    <xf numFmtId="0" fontId="3" fillId="0" borderId="133" xfId="0" applyFont="1" applyFill="1" applyBorder="1" applyAlignment="1" applyProtection="1">
      <alignment vertical="top" wrapText="1" readingOrder="1"/>
      <protection locked="0"/>
    </xf>
    <xf numFmtId="0" fontId="3" fillId="0" borderId="290" xfId="0" applyFont="1" applyFill="1" applyBorder="1" applyAlignment="1" applyProtection="1">
      <alignment vertical="top" wrapText="1" readingOrder="1"/>
      <protection locked="0"/>
    </xf>
    <xf numFmtId="0" fontId="5" fillId="0" borderId="5" xfId="0" applyFont="1" applyFill="1" applyBorder="1" applyAlignment="1" applyProtection="1">
      <alignment horizontal="left" vertical="top" wrapText="1" readingOrder="1"/>
      <protection locked="0"/>
    </xf>
    <xf numFmtId="49" fontId="5" fillId="0" borderId="5" xfId="0" applyNumberFormat="1" applyFont="1" applyFill="1" applyBorder="1" applyAlignment="1" applyProtection="1">
      <alignment horizontal="center" vertical="top" wrapText="1" readingOrder="1"/>
      <protection locked="0"/>
    </xf>
    <xf numFmtId="0" fontId="3" fillId="0" borderId="5" xfId="0" applyFont="1" applyFill="1" applyBorder="1" applyAlignment="1" applyProtection="1">
      <alignment horizontal="center" vertical="top" wrapText="1" shrinkToFit="1"/>
      <protection locked="0"/>
    </xf>
    <xf numFmtId="14" fontId="3" fillId="0" borderId="5" xfId="0" applyNumberFormat="1" applyFont="1" applyFill="1" applyBorder="1" applyAlignment="1" applyProtection="1">
      <alignment horizontal="center" vertical="top" wrapText="1" shrinkToFit="1"/>
      <protection locked="0"/>
    </xf>
    <xf numFmtId="0" fontId="13" fillId="0" borderId="291" xfId="0" applyFont="1" applyFill="1" applyBorder="1" applyAlignment="1">
      <alignment vertical="top" wrapText="1"/>
    </xf>
    <xf numFmtId="0" fontId="3" fillId="0" borderId="214" xfId="0" applyFont="1" applyFill="1" applyBorder="1" applyAlignment="1" applyProtection="1">
      <alignment vertical="top" wrapText="1" readingOrder="1"/>
      <protection locked="0"/>
    </xf>
    <xf numFmtId="0" fontId="3" fillId="0" borderId="0" xfId="0" applyFont="1" applyFill="1" applyBorder="1" applyAlignment="1" applyProtection="1">
      <alignment vertical="top" wrapText="1" shrinkToFit="1"/>
      <protection locked="0"/>
    </xf>
    <xf numFmtId="0" fontId="3" fillId="0" borderId="291" xfId="0" applyFont="1" applyFill="1" applyBorder="1" applyAlignment="1" applyProtection="1">
      <alignment horizontal="center" vertical="center" wrapText="1" shrinkToFit="1"/>
      <protection locked="0"/>
    </xf>
    <xf numFmtId="0" fontId="3" fillId="0" borderId="214" xfId="0" applyFont="1" applyFill="1" applyBorder="1" applyAlignment="1" applyProtection="1">
      <alignment horizontal="center" vertical="center" wrapText="1" shrinkToFit="1"/>
      <protection locked="0"/>
    </xf>
    <xf numFmtId="0" fontId="3" fillId="0" borderId="253" xfId="0" applyFont="1" applyFill="1" applyBorder="1" applyAlignment="1" applyProtection="1">
      <alignment vertical="top" wrapText="1" shrinkToFit="1"/>
      <protection locked="0"/>
    </xf>
    <xf numFmtId="0" fontId="3" fillId="0" borderId="266" xfId="0" applyFont="1" applyFill="1" applyBorder="1" applyAlignment="1" applyProtection="1">
      <alignment vertical="top" wrapText="1" shrinkToFit="1"/>
      <protection locked="0"/>
    </xf>
    <xf numFmtId="0" fontId="3" fillId="0" borderId="51" xfId="0" applyFont="1" applyFill="1" applyBorder="1" applyAlignment="1" applyProtection="1">
      <alignment horizontal="center" vertical="top" wrapText="1" shrinkToFit="1"/>
      <protection locked="0"/>
    </xf>
    <xf numFmtId="166" fontId="3" fillId="0" borderId="0" xfId="0" applyNumberFormat="1" applyFont="1" applyFill="1"/>
    <xf numFmtId="49" fontId="3" fillId="0" borderId="214" xfId="0" applyNumberFormat="1" applyFont="1" applyFill="1" applyBorder="1" applyAlignment="1" applyProtection="1">
      <alignment horizontal="center" vertical="top" wrapText="1" readingOrder="1"/>
      <protection locked="0"/>
    </xf>
    <xf numFmtId="0" fontId="3" fillId="0" borderId="1" xfId="0" applyFont="1" applyFill="1" applyBorder="1" applyAlignment="1" applyProtection="1">
      <alignment horizontal="center" vertical="top" wrapText="1" readingOrder="1"/>
      <protection locked="0"/>
    </xf>
    <xf numFmtId="0" fontId="3" fillId="0" borderId="9" xfId="0" applyFont="1" applyFill="1" applyBorder="1" applyAlignment="1" applyProtection="1">
      <alignment horizontal="center" vertical="top" wrapText="1" readingOrder="1"/>
      <protection locked="0"/>
    </xf>
    <xf numFmtId="49" fontId="3" fillId="0" borderId="166" xfId="0" applyNumberFormat="1" applyFont="1" applyFill="1" applyBorder="1" applyAlignment="1" applyProtection="1">
      <alignment horizontal="center" vertical="top" wrapText="1" readingOrder="1"/>
      <protection locked="0"/>
    </xf>
    <xf numFmtId="49" fontId="3" fillId="0" borderId="158" xfId="0" applyNumberFormat="1" applyFont="1" applyFill="1" applyBorder="1" applyAlignment="1" applyProtection="1">
      <alignment horizontal="center" vertical="top" wrapText="1" readingOrder="1"/>
      <protection locked="0"/>
    </xf>
    <xf numFmtId="165" fontId="3" fillId="0" borderId="158" xfId="0" applyNumberFormat="1" applyFont="1" applyFill="1" applyBorder="1" applyAlignment="1" applyProtection="1">
      <alignment vertical="top" wrapText="1" readingOrder="1"/>
      <protection locked="0"/>
    </xf>
    <xf numFmtId="0" fontId="3" fillId="0" borderId="9" xfId="0" applyFont="1" applyFill="1" applyBorder="1" applyAlignment="1" applyProtection="1">
      <alignment horizontal="center" vertical="top" wrapText="1" shrinkToFit="1"/>
      <protection locked="0"/>
    </xf>
    <xf numFmtId="49" fontId="3" fillId="0" borderId="260" xfId="0" applyNumberFormat="1" applyFont="1" applyFill="1" applyBorder="1" applyAlignment="1" applyProtection="1">
      <alignment horizontal="center" vertical="top" wrapText="1" readingOrder="1"/>
      <protection locked="0"/>
    </xf>
    <xf numFmtId="0" fontId="3" fillId="0" borderId="214" xfId="0" applyFont="1" applyFill="1" applyBorder="1" applyAlignment="1" applyProtection="1">
      <alignment horizontal="center" vertical="top" wrapText="1" readingOrder="1"/>
      <protection locked="0"/>
    </xf>
    <xf numFmtId="0" fontId="3" fillId="0" borderId="56" xfId="0" applyFont="1" applyFill="1" applyBorder="1" applyAlignment="1" applyProtection="1">
      <alignment horizontal="left" vertical="top" wrapText="1" readingOrder="1"/>
      <protection locked="0"/>
    </xf>
    <xf numFmtId="0" fontId="3" fillId="0" borderId="31" xfId="0" applyFont="1" applyFill="1" applyBorder="1" applyAlignment="1" applyProtection="1">
      <alignment horizontal="left" vertical="top" wrapText="1" readingOrder="1"/>
      <protection locked="0"/>
    </xf>
    <xf numFmtId="0" fontId="3" fillId="0" borderId="52" xfId="0" applyFont="1" applyFill="1" applyBorder="1" applyAlignment="1" applyProtection="1">
      <alignment vertical="center" wrapText="1" shrinkToFit="1"/>
      <protection locked="0"/>
    </xf>
    <xf numFmtId="0" fontId="3" fillId="0" borderId="52" xfId="0" applyFont="1" applyFill="1" applyBorder="1" applyAlignment="1" applyProtection="1">
      <alignment vertical="center" wrapText="1" readingOrder="1"/>
      <protection locked="0"/>
    </xf>
    <xf numFmtId="14" fontId="3" fillId="0" borderId="55" xfId="0" applyNumberFormat="1" applyFont="1" applyFill="1" applyBorder="1" applyAlignment="1" applyProtection="1">
      <alignment horizontal="center" vertical="top" wrapText="1" shrinkToFit="1"/>
      <protection locked="0"/>
    </xf>
    <xf numFmtId="3" fontId="3" fillId="0" borderId="266" xfId="0" applyNumberFormat="1" applyFont="1" applyFill="1" applyBorder="1" applyAlignment="1" applyProtection="1">
      <alignment vertical="top" wrapText="1" readingOrder="1"/>
      <protection locked="0"/>
    </xf>
    <xf numFmtId="0" fontId="3" fillId="0" borderId="294" xfId="0" applyFont="1" applyFill="1" applyBorder="1" applyAlignment="1" applyProtection="1">
      <alignment horizontal="center" vertical="top" wrapText="1" shrinkToFit="1"/>
      <protection locked="0"/>
    </xf>
    <xf numFmtId="0" fontId="3" fillId="0" borderId="178" xfId="0" applyFont="1" applyFill="1" applyBorder="1" applyAlignment="1" applyProtection="1">
      <alignment horizontal="center" vertical="top" wrapText="1" shrinkToFit="1"/>
      <protection locked="0"/>
    </xf>
    <xf numFmtId="49" fontId="3" fillId="0" borderId="253" xfId="0" applyNumberFormat="1" applyFont="1" applyFill="1" applyBorder="1" applyAlignment="1" applyProtection="1">
      <alignment horizontal="center" vertical="top" wrapText="1" readingOrder="1"/>
      <protection locked="0"/>
    </xf>
    <xf numFmtId="0" fontId="3" fillId="0" borderId="178" xfId="0" applyFont="1" applyFill="1" applyBorder="1" applyAlignment="1" applyProtection="1">
      <alignment vertical="top" wrapText="1" readingOrder="1"/>
      <protection locked="0"/>
    </xf>
    <xf numFmtId="0" fontId="3" fillId="0" borderId="214" xfId="0" applyFont="1" applyFill="1" applyBorder="1" applyAlignment="1" applyProtection="1">
      <alignment horizontal="center" vertical="top" wrapText="1" shrinkToFit="1"/>
      <protection locked="0"/>
    </xf>
    <xf numFmtId="0" fontId="3" fillId="0" borderId="289" xfId="0" applyFont="1" applyFill="1" applyBorder="1" applyAlignment="1" applyProtection="1">
      <alignment horizontal="center" vertical="top" wrapText="1" shrinkToFit="1"/>
      <protection locked="0"/>
    </xf>
    <xf numFmtId="0" fontId="3" fillId="0" borderId="0" xfId="0" applyFont="1" applyFill="1" applyAlignment="1" applyProtection="1">
      <alignment horizontal="center" vertical="top" wrapText="1" shrinkToFit="1"/>
      <protection locked="0"/>
    </xf>
    <xf numFmtId="0" fontId="3" fillId="0" borderId="260" xfId="0" applyFont="1" applyFill="1" applyBorder="1" applyAlignment="1" applyProtection="1">
      <alignment horizontal="center" vertical="center" wrapText="1" shrinkToFit="1"/>
      <protection locked="0"/>
    </xf>
    <xf numFmtId="14" fontId="3" fillId="0" borderId="260" xfId="0" applyNumberFormat="1" applyFont="1" applyFill="1" applyBorder="1" applyAlignment="1" applyProtection="1">
      <alignment horizontal="center" vertical="top" wrapText="1" shrinkToFit="1"/>
      <protection locked="0"/>
    </xf>
    <xf numFmtId="14" fontId="3" fillId="0" borderId="0" xfId="0" applyNumberFormat="1" applyFont="1" applyFill="1" applyAlignment="1" applyProtection="1">
      <alignment horizontal="center" vertical="top" wrapText="1" shrinkToFit="1"/>
      <protection locked="0"/>
    </xf>
    <xf numFmtId="14" fontId="3" fillId="0" borderId="246" xfId="0" applyNumberFormat="1" applyFont="1" applyFill="1" applyBorder="1" applyAlignment="1" applyProtection="1">
      <alignment horizontal="center" vertical="top" wrapText="1" shrinkToFit="1"/>
      <protection locked="0"/>
    </xf>
    <xf numFmtId="0" fontId="3" fillId="0" borderId="1" xfId="0" applyFont="1" applyFill="1" applyBorder="1" applyAlignment="1" applyProtection="1">
      <alignment vertical="top" wrapText="1" readingOrder="1"/>
      <protection locked="0"/>
    </xf>
    <xf numFmtId="0" fontId="3" fillId="0" borderId="1" xfId="0" applyFont="1" applyFill="1" applyBorder="1" applyAlignment="1" applyProtection="1">
      <alignment vertical="top" wrapText="1" shrinkToFit="1"/>
      <protection locked="0"/>
    </xf>
    <xf numFmtId="14" fontId="3" fillId="0" borderId="9" xfId="0" applyNumberFormat="1" applyFont="1" applyFill="1" applyBorder="1" applyAlignment="1" applyProtection="1">
      <alignment horizontal="center" vertical="top" wrapText="1" shrinkToFit="1"/>
      <protection locked="0"/>
    </xf>
    <xf numFmtId="0" fontId="3" fillId="0" borderId="124" xfId="0" applyFont="1" applyFill="1" applyBorder="1" applyAlignment="1" applyProtection="1">
      <alignment vertical="top" wrapText="1" readingOrder="1"/>
      <protection locked="0"/>
    </xf>
    <xf numFmtId="0" fontId="3" fillId="0" borderId="124" xfId="0" applyFont="1" applyFill="1" applyBorder="1" applyAlignment="1" applyProtection="1">
      <alignment horizontal="center" vertical="top" wrapText="1" shrinkToFit="1"/>
      <protection locked="0"/>
    </xf>
    <xf numFmtId="49" fontId="3" fillId="0" borderId="1" xfId="0" applyNumberFormat="1" applyFont="1" applyFill="1" applyBorder="1" applyAlignment="1" applyProtection="1">
      <alignment horizontal="center" vertical="top" wrapText="1" readingOrder="1"/>
      <protection locked="0"/>
    </xf>
    <xf numFmtId="0" fontId="3" fillId="0" borderId="124" xfId="0" applyFont="1" applyFill="1" applyBorder="1" applyAlignment="1" applyProtection="1">
      <alignment horizontal="center" vertical="top" wrapText="1" readingOrder="1"/>
      <protection locked="0"/>
    </xf>
    <xf numFmtId="14" fontId="3" fillId="0" borderId="253" xfId="0" applyNumberFormat="1" applyFont="1" applyFill="1" applyBorder="1" applyAlignment="1" applyProtection="1">
      <alignment horizontal="center" vertical="top" wrapText="1" shrinkToFit="1"/>
      <protection locked="0"/>
    </xf>
    <xf numFmtId="49" fontId="3" fillId="0" borderId="124" xfId="0" applyNumberFormat="1" applyFont="1" applyFill="1" applyBorder="1" applyAlignment="1" applyProtection="1">
      <alignment horizontal="center" vertical="top" wrapText="1" readingOrder="1"/>
      <protection locked="0"/>
    </xf>
    <xf numFmtId="0" fontId="3" fillId="0" borderId="287" xfId="0" applyFont="1" applyFill="1" applyBorder="1" applyAlignment="1" applyProtection="1">
      <alignment vertical="top" wrapText="1" readingOrder="1"/>
      <protection locked="0"/>
    </xf>
    <xf numFmtId="49" fontId="3" fillId="0" borderId="287" xfId="0" applyNumberFormat="1" applyFont="1" applyFill="1" applyBorder="1" applyAlignment="1" applyProtection="1">
      <alignment horizontal="center" vertical="top" wrapText="1" readingOrder="1"/>
      <protection locked="0"/>
    </xf>
    <xf numFmtId="0" fontId="3" fillId="0" borderId="52" xfId="0" applyFont="1" applyFill="1" applyBorder="1" applyAlignment="1" applyProtection="1">
      <alignment horizontal="left" vertical="top" wrapText="1" readingOrder="1"/>
      <protection locked="0"/>
    </xf>
    <xf numFmtId="49" fontId="3" fillId="0" borderId="157" xfId="0" applyNumberFormat="1" applyFont="1" applyFill="1" applyBorder="1" applyAlignment="1" applyProtection="1">
      <alignment horizontal="center" vertical="top" wrapText="1" readingOrder="1"/>
      <protection locked="0"/>
    </xf>
    <xf numFmtId="0" fontId="3" fillId="0" borderId="246" xfId="0" applyFont="1" applyFill="1" applyBorder="1" applyAlignment="1" applyProtection="1">
      <alignment horizontal="center" vertical="top" wrapText="1" shrinkToFit="1"/>
      <protection locked="0"/>
    </xf>
    <xf numFmtId="49" fontId="3" fillId="0" borderId="246" xfId="0" applyNumberFormat="1" applyFont="1" applyFill="1" applyBorder="1" applyAlignment="1" applyProtection="1">
      <alignment horizontal="center" vertical="top" wrapText="1" readingOrder="1"/>
      <protection locked="0"/>
    </xf>
    <xf numFmtId="0" fontId="3" fillId="0" borderId="258" xfId="0" applyFont="1" applyFill="1" applyBorder="1" applyAlignment="1" applyProtection="1">
      <alignment horizontal="center" vertical="top" wrapText="1" readingOrder="1"/>
      <protection locked="0"/>
    </xf>
    <xf numFmtId="49" fontId="3" fillId="0" borderId="306" xfId="0" applyNumberFormat="1" applyFont="1" applyFill="1" applyBorder="1" applyAlignment="1" applyProtection="1">
      <alignment horizontal="center" vertical="top" wrapText="1" readingOrder="1"/>
      <protection locked="0"/>
    </xf>
    <xf numFmtId="0" fontId="3" fillId="0" borderId="266" xfId="0" applyFont="1" applyFill="1" applyBorder="1" applyAlignment="1" applyProtection="1">
      <alignment horizontal="center" vertical="top" wrapText="1" readingOrder="1"/>
      <protection locked="0"/>
    </xf>
    <xf numFmtId="0" fontId="13" fillId="0" borderId="53" xfId="0" applyFont="1" applyFill="1" applyBorder="1" applyAlignment="1">
      <alignment vertical="top" wrapText="1"/>
    </xf>
    <xf numFmtId="0" fontId="3" fillId="0" borderId="159" xfId="0" applyFont="1" applyFill="1" applyBorder="1" applyAlignment="1" applyProtection="1">
      <alignment vertical="top" wrapText="1" readingOrder="1"/>
      <protection locked="0"/>
    </xf>
    <xf numFmtId="0" fontId="3" fillId="0" borderId="119" xfId="0" applyFont="1" applyFill="1" applyBorder="1" applyAlignment="1" applyProtection="1">
      <alignment vertical="top" wrapText="1" readingOrder="1"/>
      <protection locked="0"/>
    </xf>
    <xf numFmtId="49" fontId="3" fillId="0" borderId="2" xfId="0" applyNumberFormat="1" applyFont="1" applyFill="1" applyBorder="1" applyAlignment="1" applyProtection="1">
      <alignment horizontal="center" vertical="top" wrapText="1" readingOrder="1"/>
      <protection locked="0"/>
    </xf>
    <xf numFmtId="0" fontId="3" fillId="0" borderId="2" xfId="0" applyFont="1" applyFill="1" applyBorder="1" applyAlignment="1" applyProtection="1">
      <alignment horizontal="center" vertical="top" wrapText="1" shrinkToFit="1"/>
      <protection locked="0"/>
    </xf>
    <xf numFmtId="0" fontId="3" fillId="0" borderId="51" xfId="0" applyFont="1" applyFill="1" applyBorder="1" applyAlignment="1" applyProtection="1">
      <alignment horizontal="center" vertical="top" wrapText="1" readingOrder="1"/>
      <protection locked="0"/>
    </xf>
    <xf numFmtId="49" fontId="3" fillId="0" borderId="71" xfId="0" applyNumberFormat="1" applyFont="1" applyFill="1" applyBorder="1" applyAlignment="1" applyProtection="1">
      <alignment horizontal="center" vertical="top" wrapText="1" readingOrder="1"/>
      <protection locked="0"/>
    </xf>
    <xf numFmtId="165" fontId="3" fillId="0" borderId="71" xfId="0" applyNumberFormat="1" applyFont="1" applyFill="1" applyBorder="1" applyAlignment="1" applyProtection="1">
      <alignment vertical="top" wrapText="1" readingOrder="1"/>
      <protection locked="0"/>
    </xf>
    <xf numFmtId="0" fontId="3" fillId="0" borderId="15" xfId="0" applyFont="1" applyFill="1" applyBorder="1" applyAlignment="1" applyProtection="1">
      <alignment vertical="top" wrapText="1" readingOrder="1"/>
      <protection locked="0"/>
    </xf>
    <xf numFmtId="49" fontId="3" fillId="0" borderId="48" xfId="0" applyNumberFormat="1" applyFont="1" applyFill="1" applyBorder="1" applyAlignment="1" applyProtection="1">
      <alignment horizontal="center" vertical="top" wrapText="1" readingOrder="1"/>
      <protection locked="0"/>
    </xf>
    <xf numFmtId="0" fontId="3" fillId="0" borderId="47" xfId="0" applyFont="1" applyFill="1" applyBorder="1" applyAlignment="1" applyProtection="1">
      <alignment vertical="top" wrapText="1" readingOrder="1"/>
      <protection locked="0"/>
    </xf>
    <xf numFmtId="49" fontId="3" fillId="0" borderId="46" xfId="0" applyNumberFormat="1" applyFont="1" applyFill="1" applyBorder="1" applyAlignment="1" applyProtection="1">
      <alignment horizontal="center" vertical="top" wrapText="1" readingOrder="1"/>
      <protection locked="0"/>
    </xf>
    <xf numFmtId="0" fontId="3" fillId="0" borderId="46" xfId="0" applyFont="1" applyFill="1" applyBorder="1" applyAlignment="1" applyProtection="1">
      <alignment horizontal="center" vertical="top" wrapText="1" readingOrder="1"/>
      <protection locked="0"/>
    </xf>
    <xf numFmtId="0" fontId="3" fillId="0" borderId="46" xfId="0" applyFont="1" applyFill="1" applyBorder="1" applyAlignment="1" applyProtection="1">
      <alignment horizontal="center" vertical="top" wrapText="1" shrinkToFit="1"/>
      <protection locked="0"/>
    </xf>
    <xf numFmtId="165" fontId="3" fillId="0" borderId="46" xfId="0" applyNumberFormat="1" applyFont="1" applyFill="1" applyBorder="1" applyAlignment="1" applyProtection="1">
      <alignment vertical="top" wrapText="1" readingOrder="1"/>
      <protection locked="0"/>
    </xf>
    <xf numFmtId="49" fontId="5" fillId="0" borderId="97" xfId="0" applyNumberFormat="1" applyFont="1" applyFill="1" applyBorder="1" applyAlignment="1" applyProtection="1">
      <alignment horizontal="center" vertical="top" wrapText="1" readingOrder="1"/>
      <protection locked="0"/>
    </xf>
    <xf numFmtId="165" fontId="5" fillId="0" borderId="7" xfId="0" applyNumberFormat="1" applyFont="1" applyFill="1" applyBorder="1" applyAlignment="1" applyProtection="1">
      <alignment vertical="top" wrapText="1" readingOrder="1"/>
      <protection locked="0"/>
    </xf>
    <xf numFmtId="0" fontId="12" fillId="0" borderId="97" xfId="0" applyFont="1" applyFill="1" applyBorder="1" applyAlignment="1" applyProtection="1">
      <alignment vertical="top" wrapText="1" readingOrder="1"/>
      <protection locked="0"/>
    </xf>
    <xf numFmtId="49" fontId="3" fillId="0" borderId="108" xfId="0" applyNumberFormat="1" applyFont="1" applyFill="1" applyBorder="1" applyAlignment="1" applyProtection="1">
      <alignment horizontal="center" vertical="top" wrapText="1" readingOrder="1"/>
      <protection locked="0"/>
    </xf>
    <xf numFmtId="165" fontId="3" fillId="0" borderId="108" xfId="0" applyNumberFormat="1" applyFont="1" applyFill="1" applyBorder="1" applyAlignment="1" applyProtection="1">
      <alignment vertical="top" wrapText="1" readingOrder="1"/>
      <protection locked="0"/>
    </xf>
    <xf numFmtId="14" fontId="3" fillId="0" borderId="53" xfId="0" applyNumberFormat="1" applyFont="1" applyFill="1" applyBorder="1" applyAlignment="1" applyProtection="1">
      <alignment vertical="top" wrapText="1" shrinkToFit="1"/>
      <protection locked="0"/>
    </xf>
    <xf numFmtId="0" fontId="4" fillId="0" borderId="53" xfId="0" applyFont="1" applyFill="1" applyBorder="1" applyAlignment="1">
      <alignment horizontal="center" vertical="top" wrapText="1"/>
    </xf>
    <xf numFmtId="0" fontId="3" fillId="0" borderId="71" xfId="0" applyFont="1" applyFill="1" applyBorder="1" applyAlignment="1" applyProtection="1">
      <alignment horizontal="center" vertical="top" wrapText="1" readingOrder="1"/>
      <protection locked="0"/>
    </xf>
    <xf numFmtId="0" fontId="5" fillId="0" borderId="96" xfId="0" applyFont="1" applyFill="1" applyBorder="1" applyAlignment="1" applyProtection="1">
      <alignment vertical="top" wrapText="1" readingOrder="1"/>
      <protection locked="0"/>
    </xf>
    <xf numFmtId="49" fontId="5" fillId="0" borderId="9" xfId="0" applyNumberFormat="1" applyFont="1" applyFill="1" applyBorder="1" applyAlignment="1" applyProtection="1">
      <alignment horizontal="center" vertical="top" wrapText="1" readingOrder="1"/>
      <protection locked="0"/>
    </xf>
    <xf numFmtId="14" fontId="3" fillId="0" borderId="108" xfId="0" applyNumberFormat="1" applyFont="1" applyFill="1" applyBorder="1" applyAlignment="1" applyProtection="1">
      <alignment horizontal="center" vertical="top" wrapText="1" shrinkToFit="1"/>
      <protection locked="0"/>
    </xf>
    <xf numFmtId="165" fontId="3" fillId="0" borderId="112" xfId="0" applyNumberFormat="1" applyFont="1" applyFill="1" applyBorder="1" applyAlignment="1" applyProtection="1">
      <alignment vertical="top" wrapText="1" readingOrder="1"/>
      <protection locked="0"/>
    </xf>
    <xf numFmtId="49" fontId="16" fillId="0" borderId="53" xfId="0" applyNumberFormat="1" applyFont="1" applyFill="1" applyBorder="1" applyAlignment="1" applyProtection="1">
      <alignment horizontal="center" vertical="top" wrapText="1" readingOrder="1"/>
      <protection locked="0"/>
    </xf>
    <xf numFmtId="165" fontId="12" fillId="0" borderId="10" xfId="0" applyNumberFormat="1" applyFont="1" applyFill="1" applyBorder="1" applyAlignment="1" applyProtection="1">
      <alignment vertical="top" wrapText="1" readingOrder="1"/>
      <protection locked="0"/>
    </xf>
    <xf numFmtId="165" fontId="3" fillId="0" borderId="10" xfId="0" applyNumberFormat="1" applyFont="1" applyFill="1" applyBorder="1" applyAlignment="1" applyProtection="1">
      <alignment vertical="top" wrapText="1" readingOrder="1"/>
      <protection locked="0"/>
    </xf>
    <xf numFmtId="0" fontId="5" fillId="0" borderId="71" xfId="0" applyFont="1" applyFill="1" applyBorder="1" applyAlignment="1" applyProtection="1">
      <alignment vertical="top" wrapText="1" readingOrder="1"/>
      <protection locked="0"/>
    </xf>
    <xf numFmtId="0" fontId="3" fillId="0" borderId="238" xfId="0" applyFont="1" applyFill="1" applyBorder="1" applyAlignment="1" applyProtection="1">
      <alignment horizontal="center" vertical="top" wrapText="1" readingOrder="1"/>
      <protection locked="0"/>
    </xf>
    <xf numFmtId="0" fontId="3" fillId="0" borderId="89" xfId="0" applyFont="1" applyFill="1" applyBorder="1" applyAlignment="1" applyProtection="1">
      <alignment horizontal="center" vertical="top" wrapText="1" shrinkToFit="1"/>
      <protection locked="0"/>
    </xf>
    <xf numFmtId="0" fontId="3" fillId="0" borderId="252" xfId="0" applyFont="1" applyFill="1" applyBorder="1" applyAlignment="1" applyProtection="1">
      <alignment vertical="top" wrapText="1" shrinkToFit="1"/>
      <protection locked="0"/>
    </xf>
    <xf numFmtId="0" fontId="3" fillId="0" borderId="71" xfId="0" applyFont="1" applyFill="1" applyBorder="1" applyAlignment="1" applyProtection="1">
      <alignment horizontal="center" vertical="top" wrapText="1" shrinkToFit="1"/>
      <protection locked="0"/>
    </xf>
    <xf numFmtId="14" fontId="3" fillId="0" borderId="71" xfId="0" applyNumberFormat="1" applyFont="1" applyFill="1" applyBorder="1" applyAlignment="1" applyProtection="1">
      <alignment horizontal="center" vertical="top" wrapText="1" shrinkToFit="1"/>
      <protection locked="0"/>
    </xf>
    <xf numFmtId="165" fontId="3" fillId="0" borderId="62" xfId="0" applyNumberFormat="1" applyFont="1" applyFill="1" applyBorder="1" applyAlignment="1" applyProtection="1">
      <alignment vertical="top" wrapText="1" readingOrder="1"/>
      <protection locked="0"/>
    </xf>
    <xf numFmtId="0" fontId="5" fillId="0" borderId="11" xfId="0" applyFont="1" applyFill="1" applyBorder="1" applyAlignment="1" applyProtection="1">
      <alignment horizontal="left" vertical="top" wrapText="1" readingOrder="1"/>
      <protection locked="0"/>
    </xf>
    <xf numFmtId="49" fontId="5" fillId="0" borderId="11" xfId="0" applyNumberFormat="1" applyFont="1" applyFill="1" applyBorder="1" applyAlignment="1" applyProtection="1">
      <alignment horizontal="center" vertical="top" wrapText="1" readingOrder="1"/>
      <protection locked="0"/>
    </xf>
    <xf numFmtId="14" fontId="3" fillId="0" borderId="11" xfId="0" applyNumberFormat="1" applyFont="1" applyFill="1" applyBorder="1" applyAlignment="1" applyProtection="1">
      <alignment horizontal="center" vertical="top" wrapText="1" shrinkToFit="1"/>
      <protection locked="0"/>
    </xf>
    <xf numFmtId="0" fontId="3" fillId="0" borderId="12" xfId="0" applyFont="1" applyFill="1" applyBorder="1" applyAlignment="1" applyProtection="1">
      <alignment horizontal="center" vertical="top" wrapText="1" shrinkToFit="1"/>
      <protection locked="0"/>
    </xf>
    <xf numFmtId="0" fontId="3" fillId="0" borderId="13" xfId="0" applyFont="1" applyFill="1" applyBorder="1" applyAlignment="1" applyProtection="1">
      <alignment horizontal="center" vertical="top" wrapText="1" shrinkToFit="1"/>
      <protection locked="0"/>
    </xf>
    <xf numFmtId="14" fontId="3" fillId="0" borderId="20" xfId="0" applyNumberFormat="1" applyFont="1" applyFill="1" applyBorder="1" applyAlignment="1" applyProtection="1">
      <alignment horizontal="center" vertical="top" wrapText="1" shrinkToFit="1"/>
      <protection locked="0"/>
    </xf>
    <xf numFmtId="165" fontId="5" fillId="0" borderId="11" xfId="0" applyNumberFormat="1" applyFont="1" applyFill="1" applyBorder="1" applyAlignment="1" applyProtection="1">
      <alignment vertical="top" wrapText="1" readingOrder="1"/>
      <protection locked="0"/>
    </xf>
    <xf numFmtId="0" fontId="12" fillId="0" borderId="161" xfId="0" applyFont="1" applyFill="1" applyBorder="1" applyAlignment="1" applyProtection="1">
      <alignment horizontal="left" vertical="top" wrapText="1" readingOrder="1"/>
      <protection locked="0"/>
    </xf>
    <xf numFmtId="49" fontId="3" fillId="0" borderId="161" xfId="0" applyNumberFormat="1" applyFont="1" applyFill="1" applyBorder="1" applyAlignment="1" applyProtection="1">
      <alignment horizontal="center" vertical="top" wrapText="1" readingOrder="1"/>
      <protection locked="0"/>
    </xf>
    <xf numFmtId="0" fontId="3" fillId="0" borderId="161" xfId="0" applyFont="1" applyFill="1" applyBorder="1" applyAlignment="1" applyProtection="1">
      <alignment horizontal="center" vertical="top" wrapText="1" shrinkToFit="1"/>
      <protection locked="0"/>
    </xf>
    <xf numFmtId="14" fontId="3" fillId="0" borderId="161" xfId="0" applyNumberFormat="1" applyFont="1" applyFill="1" applyBorder="1" applyAlignment="1" applyProtection="1">
      <alignment horizontal="center" vertical="top" wrapText="1" shrinkToFit="1"/>
      <protection locked="0"/>
    </xf>
    <xf numFmtId="0" fontId="3" fillId="0" borderId="161" xfId="0" applyFont="1" applyFill="1" applyBorder="1" applyAlignment="1" applyProtection="1">
      <alignment vertical="top" wrapText="1" shrinkToFit="1"/>
      <protection locked="0"/>
    </xf>
    <xf numFmtId="165" fontId="3" fillId="0" borderId="161" xfId="0" applyNumberFormat="1" applyFont="1" applyFill="1" applyBorder="1" applyAlignment="1" applyProtection="1">
      <alignment vertical="top" wrapText="1" readingOrder="1"/>
      <protection locked="0"/>
    </xf>
    <xf numFmtId="0" fontId="12" fillId="0" borderId="53" xfId="0" applyFont="1" applyFill="1" applyBorder="1" applyAlignment="1" applyProtection="1">
      <alignment horizontal="left" vertical="top" wrapText="1" readingOrder="1"/>
      <protection locked="0"/>
    </xf>
    <xf numFmtId="0" fontId="3" fillId="0" borderId="145" xfId="0" applyFont="1" applyFill="1" applyBorder="1" applyAlignment="1" applyProtection="1">
      <alignment horizontal="left" vertical="top" wrapText="1" readingOrder="1"/>
      <protection locked="0"/>
    </xf>
    <xf numFmtId="49" fontId="3" fillId="0" borderId="145" xfId="0" applyNumberFormat="1" applyFont="1" applyFill="1" applyBorder="1" applyAlignment="1" applyProtection="1">
      <alignment horizontal="center" vertical="top" wrapText="1" readingOrder="1"/>
      <protection locked="0"/>
    </xf>
    <xf numFmtId="0" fontId="3" fillId="0" borderId="145" xfId="0" applyFont="1" applyFill="1" applyBorder="1" applyAlignment="1" applyProtection="1">
      <alignment horizontal="center" vertical="top" wrapText="1" shrinkToFit="1"/>
      <protection locked="0"/>
    </xf>
    <xf numFmtId="14" fontId="3" fillId="0" borderId="145" xfId="0" applyNumberFormat="1" applyFont="1" applyFill="1" applyBorder="1" applyAlignment="1" applyProtection="1">
      <alignment horizontal="center" vertical="top" wrapText="1" shrinkToFit="1"/>
      <protection locked="0"/>
    </xf>
    <xf numFmtId="165" fontId="3" fillId="0" borderId="145" xfId="0" applyNumberFormat="1" applyFont="1" applyFill="1" applyBorder="1" applyAlignment="1" applyProtection="1">
      <alignment vertical="top" wrapText="1" readingOrder="1"/>
      <protection locked="0"/>
    </xf>
    <xf numFmtId="165" fontId="5" fillId="0" borderId="10" xfId="0" applyNumberFormat="1" applyFont="1" applyFill="1" applyBorder="1" applyAlignment="1" applyProtection="1">
      <alignment vertical="top" wrapText="1" readingOrder="1"/>
      <protection locked="0"/>
    </xf>
    <xf numFmtId="0" fontId="5" fillId="0" borderId="7" xfId="0" applyFont="1" applyFill="1" applyBorder="1" applyAlignment="1" applyProtection="1">
      <alignment horizontal="center" vertical="top" wrapText="1" readingOrder="1"/>
      <protection locked="0"/>
    </xf>
    <xf numFmtId="0" fontId="6" fillId="0" borderId="7" xfId="0" applyFont="1" applyFill="1" applyBorder="1" applyAlignment="1" applyProtection="1">
      <alignment horizontal="center" vertical="top" wrapText="1" shrinkToFit="1"/>
      <protection locked="0"/>
    </xf>
    <xf numFmtId="0" fontId="4" fillId="0" borderId="7" xfId="0" applyFont="1" applyFill="1" applyBorder="1" applyAlignment="1">
      <alignment horizontal="center" vertical="top" wrapText="1"/>
    </xf>
    <xf numFmtId="0" fontId="3" fillId="0" borderId="7" xfId="0" applyFont="1" applyFill="1" applyBorder="1" applyAlignment="1" applyProtection="1">
      <alignment horizontal="center" vertical="top" wrapText="1" shrinkToFit="1"/>
      <protection locked="0"/>
    </xf>
    <xf numFmtId="14" fontId="3" fillId="0" borderId="7" xfId="0" applyNumberFormat="1" applyFont="1" applyFill="1" applyBorder="1" applyAlignment="1" applyProtection="1">
      <alignment horizontal="center" vertical="top" wrapText="1" shrinkToFit="1"/>
      <protection locked="0"/>
    </xf>
    <xf numFmtId="0" fontId="5" fillId="0" borderId="2" xfId="0" applyFont="1" applyFill="1" applyBorder="1" applyAlignment="1" applyProtection="1">
      <alignment horizontal="center" vertical="top" wrapText="1" readingOrder="1"/>
      <protection locked="0"/>
    </xf>
    <xf numFmtId="0" fontId="5" fillId="0" borderId="97" xfId="0" applyFont="1" applyFill="1" applyBorder="1" applyAlignment="1" applyProtection="1">
      <alignment vertical="top" wrapText="1" readingOrder="1"/>
      <protection locked="0"/>
    </xf>
    <xf numFmtId="14" fontId="3" fillId="0" borderId="51" xfId="0" applyNumberFormat="1" applyFont="1" applyFill="1" applyBorder="1" applyAlignment="1" applyProtection="1">
      <alignment horizontal="center" vertical="top" wrapText="1" shrinkToFit="1"/>
      <protection locked="0"/>
    </xf>
    <xf numFmtId="165" fontId="5" fillId="0" borderId="98" xfId="0" applyNumberFormat="1" applyFont="1" applyFill="1" applyBorder="1" applyAlignment="1" applyProtection="1">
      <alignment vertical="top" wrapText="1" readingOrder="1"/>
      <protection locked="0"/>
    </xf>
    <xf numFmtId="0" fontId="12" fillId="0" borderId="189" xfId="0" applyFont="1" applyFill="1" applyBorder="1" applyAlignment="1" applyProtection="1">
      <alignment vertical="top" wrapText="1" readingOrder="1"/>
      <protection locked="0"/>
    </xf>
    <xf numFmtId="0" fontId="5" fillId="0" borderId="189" xfId="0" applyFont="1" applyFill="1" applyBorder="1" applyAlignment="1" applyProtection="1">
      <alignment vertical="top" wrapText="1" readingOrder="1"/>
      <protection locked="0"/>
    </xf>
    <xf numFmtId="0" fontId="4" fillId="0" borderId="222" xfId="0" applyFont="1" applyFill="1" applyBorder="1" applyAlignment="1">
      <alignment horizontal="center" vertical="top" wrapText="1"/>
    </xf>
    <xf numFmtId="0" fontId="4" fillId="0" borderId="189" xfId="0" applyFont="1" applyFill="1" applyBorder="1" applyAlignment="1">
      <alignment horizontal="center" vertical="top" wrapText="1"/>
    </xf>
    <xf numFmtId="0" fontId="3" fillId="0" borderId="189" xfId="0" applyFont="1" applyFill="1" applyBorder="1" applyAlignment="1" applyProtection="1">
      <alignment horizontal="center" vertical="top" wrapText="1" readingOrder="1"/>
      <protection locked="0"/>
    </xf>
    <xf numFmtId="165" fontId="3" fillId="0" borderId="189" xfId="0" applyNumberFormat="1" applyFont="1" applyFill="1" applyBorder="1" applyAlignment="1" applyProtection="1">
      <alignment vertical="top" wrapText="1" readingOrder="1"/>
      <protection locked="0"/>
    </xf>
    <xf numFmtId="0" fontId="5" fillId="0" borderId="174" xfId="0" applyFont="1" applyFill="1" applyBorder="1" applyAlignment="1" applyProtection="1">
      <alignment vertical="top" wrapText="1" readingOrder="1"/>
      <protection locked="0"/>
    </xf>
    <xf numFmtId="0" fontId="17" fillId="0" borderId="253" xfId="0" applyFont="1" applyFill="1" applyBorder="1" applyAlignment="1">
      <alignment horizontal="center" vertical="top" wrapText="1"/>
    </xf>
    <xf numFmtId="165" fontId="5" fillId="0" borderId="174" xfId="0" applyNumberFormat="1" applyFont="1" applyFill="1" applyBorder="1" applyAlignment="1" applyProtection="1">
      <alignment vertical="top" wrapText="1" readingOrder="1"/>
      <protection locked="0"/>
    </xf>
    <xf numFmtId="0" fontId="5" fillId="0" borderId="169" xfId="0" applyFont="1" applyFill="1" applyBorder="1" applyAlignment="1" applyProtection="1">
      <alignment vertical="top" wrapText="1" readingOrder="1"/>
      <protection locked="0"/>
    </xf>
    <xf numFmtId="0" fontId="3" fillId="0" borderId="252" xfId="0" applyFont="1" applyFill="1" applyBorder="1" applyAlignment="1" applyProtection="1">
      <alignment horizontal="center" vertical="top" wrapText="1" readingOrder="1"/>
      <protection locked="0"/>
    </xf>
    <xf numFmtId="0" fontId="3" fillId="0" borderId="169" xfId="0" applyFont="1" applyFill="1" applyBorder="1" applyAlignment="1" applyProtection="1">
      <alignment horizontal="center" vertical="top" wrapText="1" readingOrder="1"/>
      <protection locked="0"/>
    </xf>
    <xf numFmtId="165" fontId="5" fillId="0" borderId="169" xfId="0" applyNumberFormat="1" applyFont="1" applyFill="1" applyBorder="1" applyAlignment="1" applyProtection="1">
      <alignment vertical="top" wrapText="1" readingOrder="1"/>
      <protection locked="0"/>
    </xf>
    <xf numFmtId="0" fontId="5" fillId="0" borderId="236" xfId="0" applyFont="1" applyFill="1" applyBorder="1" applyAlignment="1" applyProtection="1">
      <alignment horizontal="center" vertical="top" wrapText="1" readingOrder="1"/>
      <protection locked="0"/>
    </xf>
    <xf numFmtId="0" fontId="3" fillId="0" borderId="108" xfId="0" applyFont="1" applyFill="1" applyBorder="1" applyAlignment="1" applyProtection="1">
      <alignment horizontal="center" vertical="top" wrapText="1" readingOrder="1"/>
      <protection locked="0"/>
    </xf>
    <xf numFmtId="49" fontId="5" fillId="0" borderId="108" xfId="0" applyNumberFormat="1" applyFont="1" applyFill="1" applyBorder="1" applyAlignment="1" applyProtection="1">
      <alignment horizontal="center" vertical="top" wrapText="1" readingOrder="1"/>
      <protection locked="0"/>
    </xf>
    <xf numFmtId="165" fontId="5" fillId="0" borderId="108" xfId="0" applyNumberFormat="1" applyFont="1" applyFill="1" applyBorder="1" applyAlignment="1" applyProtection="1">
      <alignment vertical="top" wrapText="1" readingOrder="1"/>
      <protection locked="0"/>
    </xf>
    <xf numFmtId="49" fontId="3" fillId="0" borderId="263" xfId="0" applyNumberFormat="1" applyFont="1" applyFill="1" applyBorder="1" applyAlignment="1" applyProtection="1">
      <alignment horizontal="center" vertical="top" wrapText="1" readingOrder="1"/>
      <protection locked="0"/>
    </xf>
    <xf numFmtId="0" fontId="3" fillId="0" borderId="46" xfId="0" applyFont="1" applyFill="1" applyBorder="1" applyAlignment="1" applyProtection="1">
      <alignment vertical="top" wrapText="1" readingOrder="1"/>
      <protection locked="0"/>
    </xf>
    <xf numFmtId="0" fontId="3" fillId="0" borderId="97" xfId="0" applyFont="1" applyFill="1" applyBorder="1" applyAlignment="1" applyProtection="1">
      <alignment horizontal="center" vertical="top" wrapText="1" readingOrder="1"/>
      <protection locked="0"/>
    </xf>
    <xf numFmtId="165" fontId="3" fillId="0" borderId="108" xfId="0" applyNumberFormat="1" applyFont="1" applyFill="1" applyBorder="1" applyAlignment="1" applyProtection="1">
      <alignment horizontal="right" vertical="top" wrapText="1" readingOrder="1"/>
      <protection locked="0"/>
    </xf>
    <xf numFmtId="165" fontId="3" fillId="0" borderId="53" xfId="0" applyNumberFormat="1" applyFont="1" applyFill="1" applyBorder="1" applyAlignment="1" applyProtection="1">
      <alignment horizontal="right" vertical="top" wrapText="1" readingOrder="1"/>
      <protection locked="0"/>
    </xf>
    <xf numFmtId="0" fontId="4" fillId="0" borderId="53" xfId="0" applyFont="1" applyFill="1" applyBorder="1" applyAlignment="1">
      <alignment horizontal="center" vertical="top" wrapText="1" readingOrder="1"/>
    </xf>
    <xf numFmtId="0" fontId="5" fillId="0" borderId="236" xfId="0" applyFont="1" applyFill="1" applyBorder="1" applyAlignment="1" applyProtection="1">
      <alignment vertical="top" wrapText="1" readingOrder="1"/>
      <protection locked="0"/>
    </xf>
    <xf numFmtId="0" fontId="5" fillId="0" borderId="28" xfId="0" applyFont="1" applyFill="1" applyBorder="1" applyAlignment="1" applyProtection="1">
      <alignment horizontal="center" vertical="top" wrapText="1" readingOrder="1"/>
      <protection locked="0"/>
    </xf>
    <xf numFmtId="0" fontId="3" fillId="0" borderId="254" xfId="0" applyFont="1" applyFill="1" applyBorder="1" applyAlignment="1" applyProtection="1">
      <alignment horizontal="center" vertical="top" wrapText="1" shrinkToFit="1"/>
      <protection locked="0"/>
    </xf>
    <xf numFmtId="0" fontId="5" fillId="0" borderId="254" xfId="0" applyFont="1" applyFill="1" applyBorder="1" applyAlignment="1" applyProtection="1">
      <alignment vertical="top" wrapText="1" readingOrder="1"/>
      <protection locked="0"/>
    </xf>
    <xf numFmtId="0" fontId="5" fillId="0" borderId="249" xfId="0" applyFont="1" applyFill="1" applyBorder="1" applyAlignment="1" applyProtection="1">
      <alignment vertical="top" wrapText="1" readingOrder="1"/>
      <protection locked="0"/>
    </xf>
    <xf numFmtId="0" fontId="5" fillId="0" borderId="222" xfId="0" applyFont="1" applyFill="1" applyBorder="1" applyAlignment="1" applyProtection="1">
      <alignment vertical="top" wrapText="1" readingOrder="1"/>
      <protection locked="0"/>
    </xf>
    <xf numFmtId="0" fontId="3" fillId="0" borderId="293" xfId="0" applyFont="1" applyFill="1" applyBorder="1" applyAlignment="1" applyProtection="1">
      <alignment vertical="top" wrapText="1" readingOrder="1"/>
      <protection locked="0"/>
    </xf>
    <xf numFmtId="49" fontId="3" fillId="0" borderId="293" xfId="0" applyNumberFormat="1" applyFont="1" applyFill="1" applyBorder="1" applyAlignment="1" applyProtection="1">
      <alignment horizontal="center" vertical="top" wrapText="1" readingOrder="1"/>
      <protection locked="0"/>
    </xf>
    <xf numFmtId="0" fontId="4" fillId="0" borderId="293" xfId="0" applyFont="1" applyFill="1" applyBorder="1" applyAlignment="1">
      <alignment horizontal="center" vertical="top" wrapText="1" readingOrder="1"/>
    </xf>
    <xf numFmtId="165" fontId="3" fillId="0" borderId="293" xfId="0" applyNumberFormat="1" applyFont="1" applyFill="1" applyBorder="1" applyAlignment="1" applyProtection="1">
      <alignment vertical="top" wrapText="1" readingOrder="1"/>
      <protection locked="0"/>
    </xf>
    <xf numFmtId="0" fontId="4" fillId="0" borderId="139" xfId="0" applyFont="1" applyFill="1" applyBorder="1" applyAlignment="1">
      <alignment horizontal="center" vertical="top" wrapText="1"/>
    </xf>
    <xf numFmtId="14" fontId="3" fillId="0" borderId="139" xfId="0" applyNumberFormat="1" applyFont="1" applyFill="1" applyBorder="1" applyAlignment="1" applyProtection="1">
      <alignment horizontal="center" vertical="top" wrapText="1" shrinkToFit="1"/>
      <protection locked="0"/>
    </xf>
    <xf numFmtId="0" fontId="3" fillId="0" borderId="139" xfId="0" applyFont="1" applyFill="1" applyBorder="1" applyAlignment="1" applyProtection="1">
      <alignment horizontal="left" vertical="top" wrapText="1" readingOrder="1"/>
      <protection locked="0"/>
    </xf>
    <xf numFmtId="0" fontId="3" fillId="0" borderId="253" xfId="1" applyFont="1" applyFill="1" applyBorder="1" applyAlignment="1">
      <alignment horizontal="center" vertical="top" wrapText="1"/>
    </xf>
    <xf numFmtId="49" fontId="3" fillId="0" borderId="211" xfId="0" applyNumberFormat="1" applyFont="1" applyFill="1" applyBorder="1" applyAlignment="1" applyProtection="1">
      <alignment horizontal="center" vertical="top" wrapText="1" readingOrder="1"/>
      <protection locked="0"/>
    </xf>
    <xf numFmtId="0" fontId="3" fillId="0" borderId="0" xfId="0" applyFont="1" applyFill="1" applyBorder="1" applyAlignment="1" applyProtection="1">
      <alignment vertical="top" wrapText="1" readingOrder="1"/>
      <protection locked="0"/>
    </xf>
    <xf numFmtId="0" fontId="4" fillId="0" borderId="253" xfId="0" applyFont="1" applyFill="1" applyBorder="1" applyAlignment="1">
      <alignment horizontal="center" vertical="top" wrapText="1"/>
    </xf>
    <xf numFmtId="165" fontId="3" fillId="0" borderId="0" xfId="0" applyNumberFormat="1" applyFont="1" applyFill="1" applyBorder="1" applyAlignment="1" applyProtection="1">
      <alignment vertical="top" wrapText="1" readingOrder="1"/>
      <protection locked="0"/>
    </xf>
    <xf numFmtId="0" fontId="4" fillId="0" borderId="297" xfId="0" applyFont="1" applyFill="1" applyBorder="1" applyAlignment="1">
      <alignment horizontal="center" vertical="top" wrapText="1"/>
    </xf>
    <xf numFmtId="0" fontId="3" fillId="0" borderId="134" xfId="0" applyFont="1" applyFill="1" applyBorder="1" applyAlignment="1" applyProtection="1">
      <alignment horizontal="center" vertical="top" wrapText="1" readingOrder="1"/>
      <protection locked="0"/>
    </xf>
    <xf numFmtId="0" fontId="3" fillId="0" borderId="294" xfId="0" applyFont="1" applyFill="1" applyBorder="1" applyAlignment="1" applyProtection="1">
      <alignment horizontal="center" vertical="top" wrapText="1" readingOrder="1"/>
      <protection locked="0"/>
    </xf>
    <xf numFmtId="0" fontId="5" fillId="0" borderId="253" xfId="0" applyFont="1" applyFill="1" applyBorder="1" applyAlignment="1" applyProtection="1">
      <alignment horizontal="center" vertical="top" wrapText="1" readingOrder="1"/>
      <protection locked="0"/>
    </xf>
    <xf numFmtId="0" fontId="5" fillId="0" borderId="0" xfId="0" applyFont="1" applyFill="1" applyBorder="1" applyAlignment="1" applyProtection="1">
      <alignment horizontal="center" vertical="top" wrapText="1" readingOrder="1"/>
      <protection locked="0"/>
    </xf>
    <xf numFmtId="165" fontId="5" fillId="0" borderId="0" xfId="0" applyNumberFormat="1" applyFont="1" applyFill="1" applyBorder="1" applyAlignment="1" applyProtection="1">
      <alignment vertical="top" wrapText="1" readingOrder="1"/>
      <protection locked="0"/>
    </xf>
    <xf numFmtId="0" fontId="5" fillId="0" borderId="212" xfId="0" applyFont="1" applyFill="1" applyBorder="1" applyAlignment="1" applyProtection="1">
      <alignment horizontal="center" vertical="top" wrapText="1" readingOrder="1"/>
      <protection locked="0"/>
    </xf>
    <xf numFmtId="0" fontId="3" fillId="0" borderId="213" xfId="0" applyFont="1" applyFill="1" applyBorder="1" applyAlignment="1" applyProtection="1">
      <alignment horizontal="center" vertical="top" wrapText="1" readingOrder="1"/>
      <protection locked="0"/>
    </xf>
    <xf numFmtId="0" fontId="5" fillId="0" borderId="213" xfId="0" applyFont="1" applyFill="1" applyBorder="1" applyAlignment="1" applyProtection="1">
      <alignment horizontal="center" vertical="top" wrapText="1" readingOrder="1"/>
      <protection locked="0"/>
    </xf>
    <xf numFmtId="0" fontId="5" fillId="0" borderId="234" xfId="0" applyFont="1" applyFill="1" applyBorder="1" applyAlignment="1" applyProtection="1">
      <alignment horizontal="center" vertical="top" wrapText="1" readingOrder="1"/>
      <protection locked="0"/>
    </xf>
    <xf numFmtId="0" fontId="3" fillId="0" borderId="213" xfId="0" applyFont="1" applyFill="1" applyBorder="1" applyAlignment="1" applyProtection="1">
      <alignment horizontal="center" vertical="center" wrapText="1" shrinkToFit="1"/>
      <protection locked="0"/>
    </xf>
    <xf numFmtId="165" fontId="5" fillId="0" borderId="234" xfId="0" applyNumberFormat="1" applyFont="1" applyFill="1" applyBorder="1" applyAlignment="1" applyProtection="1">
      <alignment vertical="top" wrapText="1" readingOrder="1"/>
      <protection locked="0"/>
    </xf>
    <xf numFmtId="0" fontId="3" fillId="0" borderId="209" xfId="0" applyFont="1" applyFill="1" applyBorder="1" applyAlignment="1" applyProtection="1">
      <alignment horizontal="center" vertical="top" wrapText="1" readingOrder="1"/>
      <protection locked="0"/>
    </xf>
    <xf numFmtId="0" fontId="3" fillId="0" borderId="277" xfId="0" applyFont="1" applyFill="1" applyBorder="1" applyAlignment="1" applyProtection="1">
      <alignment horizontal="center" vertical="top" wrapText="1" readingOrder="1"/>
      <protection locked="0"/>
    </xf>
    <xf numFmtId="49" fontId="3" fillId="0" borderId="228" xfId="0" applyNumberFormat="1" applyFont="1" applyFill="1" applyBorder="1" applyAlignment="1" applyProtection="1">
      <alignment horizontal="center" vertical="top" wrapText="1" readingOrder="1"/>
      <protection locked="0"/>
    </xf>
    <xf numFmtId="165" fontId="3" fillId="0" borderId="298" xfId="0" applyNumberFormat="1" applyFont="1" applyFill="1" applyBorder="1" applyAlignment="1" applyProtection="1">
      <alignment vertical="top" wrapText="1" readingOrder="1"/>
      <protection locked="0"/>
    </xf>
    <xf numFmtId="0" fontId="5" fillId="0" borderId="28" xfId="0" applyFont="1" applyFill="1" applyBorder="1" applyAlignment="1" applyProtection="1">
      <alignment horizontal="left" vertical="top" wrapText="1" readingOrder="1"/>
      <protection locked="0"/>
    </xf>
    <xf numFmtId="0" fontId="5" fillId="0" borderId="254" xfId="0" applyFont="1" applyFill="1" applyBorder="1" applyAlignment="1" applyProtection="1">
      <alignment horizontal="center" vertical="top" wrapText="1" readingOrder="1"/>
      <protection locked="0"/>
    </xf>
    <xf numFmtId="0" fontId="3" fillId="0" borderId="254" xfId="0" applyFont="1" applyFill="1" applyBorder="1" applyAlignment="1" applyProtection="1">
      <alignment horizontal="center" vertical="center" wrapText="1" shrinkToFit="1"/>
      <protection locked="0"/>
    </xf>
    <xf numFmtId="14" fontId="3" fillId="0" borderId="254" xfId="0" applyNumberFormat="1" applyFont="1" applyFill="1" applyBorder="1" applyAlignment="1" applyProtection="1">
      <alignment horizontal="center" vertical="center" wrapText="1" shrinkToFit="1"/>
      <protection locked="0"/>
    </xf>
    <xf numFmtId="165" fontId="5" fillId="0" borderId="254" xfId="0" applyNumberFormat="1" applyFont="1" applyFill="1" applyBorder="1" applyAlignment="1" applyProtection="1">
      <alignment vertical="top" wrapText="1" readingOrder="1"/>
      <protection locked="0"/>
    </xf>
    <xf numFmtId="165" fontId="5" fillId="0" borderId="299" xfId="0" applyNumberFormat="1" applyFont="1" applyFill="1" applyBorder="1" applyAlignment="1" applyProtection="1">
      <alignment vertical="top" wrapText="1" readingOrder="1"/>
      <protection locked="0"/>
    </xf>
    <xf numFmtId="0" fontId="12" fillId="0" borderId="128" xfId="0" applyFont="1" applyFill="1" applyBorder="1" applyAlignment="1" applyProtection="1">
      <alignment vertical="top" wrapText="1" readingOrder="1"/>
      <protection locked="0"/>
    </xf>
    <xf numFmtId="0" fontId="3" fillId="0" borderId="128" xfId="0" applyFont="1" applyFill="1" applyBorder="1" applyAlignment="1" applyProtection="1">
      <alignment horizontal="center" vertical="top" wrapText="1" readingOrder="1"/>
      <protection locked="0"/>
    </xf>
    <xf numFmtId="14" fontId="6" fillId="0" borderId="168" xfId="0" applyNumberFormat="1" applyFont="1" applyFill="1" applyBorder="1" applyAlignment="1" applyProtection="1">
      <alignment horizontal="center" vertical="top" wrapText="1" shrinkToFit="1"/>
      <protection locked="0"/>
    </xf>
    <xf numFmtId="0" fontId="12" fillId="0" borderId="214" xfId="0" applyFont="1" applyFill="1" applyBorder="1" applyAlignment="1" applyProtection="1">
      <alignment vertical="top" wrapText="1" readingOrder="1"/>
      <protection locked="0"/>
    </xf>
    <xf numFmtId="14" fontId="6" fillId="0" borderId="166" xfId="0" applyNumberFormat="1" applyFont="1" applyFill="1" applyBorder="1" applyAlignment="1" applyProtection="1">
      <alignment horizontal="center" vertical="top" wrapText="1" shrinkToFit="1"/>
      <protection locked="0"/>
    </xf>
    <xf numFmtId="165" fontId="3" fillId="0" borderId="166" xfId="0" applyNumberFormat="1" applyFont="1" applyFill="1" applyBorder="1" applyAlignment="1" applyProtection="1">
      <alignment vertical="top" wrapText="1" readingOrder="1"/>
      <protection locked="0"/>
    </xf>
    <xf numFmtId="0" fontId="3" fillId="0" borderId="203" xfId="0" applyFont="1" applyFill="1" applyBorder="1" applyAlignment="1" applyProtection="1">
      <alignment vertical="top" wrapText="1" readingOrder="1"/>
      <protection locked="0"/>
    </xf>
    <xf numFmtId="49" fontId="3" fillId="0" borderId="203" xfId="0" applyNumberFormat="1" applyFont="1" applyFill="1" applyBorder="1" applyAlignment="1" applyProtection="1">
      <alignment horizontal="center" vertical="top" wrapText="1" readingOrder="1"/>
      <protection locked="0"/>
    </xf>
    <xf numFmtId="0" fontId="3" fillId="0" borderId="243" xfId="0" applyFont="1" applyFill="1" applyBorder="1" applyAlignment="1" applyProtection="1">
      <alignment vertical="top" wrapText="1" readingOrder="1"/>
      <protection locked="0"/>
    </xf>
    <xf numFmtId="14" fontId="6" fillId="0" borderId="200" xfId="0" applyNumberFormat="1" applyFont="1" applyFill="1" applyBorder="1" applyAlignment="1" applyProtection="1">
      <alignment horizontal="center" vertical="top" wrapText="1" shrinkToFit="1"/>
      <protection locked="0"/>
    </xf>
    <xf numFmtId="165" fontId="3" fillId="0" borderId="200" xfId="0" applyNumberFormat="1" applyFont="1" applyFill="1" applyBorder="1" applyAlignment="1" applyProtection="1">
      <alignment vertical="top" wrapText="1" readingOrder="1"/>
      <protection locked="0"/>
    </xf>
    <xf numFmtId="0" fontId="12" fillId="0" borderId="236" xfId="0" applyFont="1" applyFill="1" applyBorder="1" applyAlignment="1" applyProtection="1">
      <alignment vertical="top" wrapText="1" readingOrder="1"/>
      <protection locked="0"/>
    </xf>
    <xf numFmtId="0" fontId="3" fillId="0" borderId="131" xfId="0" applyFont="1" applyFill="1" applyBorder="1" applyAlignment="1" applyProtection="1">
      <alignment horizontal="center" vertical="top" wrapText="1" readingOrder="1"/>
      <protection locked="0"/>
    </xf>
    <xf numFmtId="0" fontId="3" fillId="0" borderId="126" xfId="0" applyFont="1" applyFill="1" applyBorder="1" applyAlignment="1" applyProtection="1">
      <alignment vertical="top" wrapText="1" readingOrder="1"/>
      <protection locked="0"/>
    </xf>
    <xf numFmtId="0" fontId="3" fillId="0" borderId="132" xfId="0" applyFont="1" applyFill="1" applyBorder="1" applyAlignment="1" applyProtection="1">
      <alignment vertical="top" wrapText="1" readingOrder="1"/>
      <protection locked="0"/>
    </xf>
    <xf numFmtId="0" fontId="3" fillId="0" borderId="222" xfId="0" applyFont="1" applyFill="1" applyBorder="1" applyAlignment="1" applyProtection="1">
      <alignment horizontal="center" vertical="top" wrapText="1" shrinkToFit="1"/>
      <protection locked="0"/>
    </xf>
    <xf numFmtId="0" fontId="3" fillId="0" borderId="97" xfId="0" applyFont="1" applyFill="1" applyBorder="1" applyAlignment="1" applyProtection="1">
      <alignment horizontal="center" vertical="top" wrapText="1" shrinkToFit="1"/>
      <protection locked="0"/>
    </xf>
    <xf numFmtId="0" fontId="12" fillId="0" borderId="263" xfId="0" applyFont="1" applyFill="1" applyBorder="1" applyAlignment="1" applyProtection="1">
      <alignment vertical="top" wrapText="1" readingOrder="1"/>
      <protection locked="0"/>
    </xf>
    <xf numFmtId="0" fontId="3" fillId="0" borderId="267" xfId="0" applyFont="1" applyFill="1" applyBorder="1" applyAlignment="1" applyProtection="1">
      <alignment vertical="top" wrapText="1" readingOrder="1"/>
      <protection locked="0"/>
    </xf>
    <xf numFmtId="0" fontId="3" fillId="0" borderId="263" xfId="0" applyFont="1" applyFill="1" applyBorder="1" applyAlignment="1" applyProtection="1">
      <alignment vertical="top" wrapText="1" readingOrder="1"/>
      <protection locked="0"/>
    </xf>
    <xf numFmtId="0" fontId="6" fillId="0" borderId="265" xfId="0" applyFont="1" applyFill="1" applyBorder="1" applyAlignment="1" applyProtection="1">
      <alignment horizontal="center" vertical="center" wrapText="1" shrinkToFit="1"/>
      <protection locked="0"/>
    </xf>
    <xf numFmtId="0" fontId="3" fillId="0" borderId="267" xfId="0" applyFont="1" applyFill="1" applyBorder="1" applyAlignment="1" applyProtection="1">
      <alignment horizontal="center" vertical="top" wrapText="1" readingOrder="1"/>
      <protection locked="0"/>
    </xf>
    <xf numFmtId="0" fontId="6" fillId="0" borderId="16" xfId="0" applyFont="1" applyFill="1" applyBorder="1" applyAlignment="1" applyProtection="1">
      <alignment horizontal="center" vertical="top" wrapText="1" shrinkToFit="1"/>
      <protection locked="0"/>
    </xf>
    <xf numFmtId="0" fontId="6" fillId="0" borderId="158" xfId="0" applyFont="1" applyFill="1" applyBorder="1" applyAlignment="1" applyProtection="1">
      <alignment horizontal="center" vertical="top" wrapText="1" shrinkToFit="1"/>
      <protection locked="0"/>
    </xf>
    <xf numFmtId="0" fontId="3" fillId="0" borderId="158" xfId="0" applyFont="1" applyFill="1" applyBorder="1" applyAlignment="1" applyProtection="1">
      <alignment horizontal="center" vertical="top" wrapText="1" readingOrder="1"/>
      <protection locked="0"/>
    </xf>
    <xf numFmtId="49" fontId="3" fillId="0" borderId="266" xfId="0" applyNumberFormat="1" applyFont="1" applyFill="1" applyBorder="1" applyAlignment="1" applyProtection="1">
      <alignment horizontal="center" vertical="top" wrapText="1" readingOrder="1"/>
      <protection locked="0"/>
    </xf>
    <xf numFmtId="49" fontId="3" fillId="0" borderId="204" xfId="0" applyNumberFormat="1" applyFont="1" applyFill="1" applyBorder="1" applyAlignment="1" applyProtection="1">
      <alignment horizontal="center" vertical="top" wrapText="1" readingOrder="1"/>
      <protection locked="0"/>
    </xf>
    <xf numFmtId="0" fontId="6" fillId="0" borderId="206" xfId="0" applyFont="1" applyFill="1" applyBorder="1" applyAlignment="1" applyProtection="1">
      <alignment horizontal="center" vertical="center" wrapText="1" shrinkToFit="1"/>
      <protection locked="0"/>
    </xf>
    <xf numFmtId="0" fontId="3" fillId="0" borderId="206" xfId="0" applyFont="1" applyFill="1" applyBorder="1" applyAlignment="1" applyProtection="1">
      <alignment vertical="top" wrapText="1" readingOrder="1"/>
      <protection locked="0"/>
    </xf>
    <xf numFmtId="0" fontId="3" fillId="0" borderId="221" xfId="0" applyFont="1" applyFill="1" applyBorder="1" applyAlignment="1" applyProtection="1">
      <alignment vertical="top" wrapText="1" readingOrder="1"/>
      <protection locked="0"/>
    </xf>
    <xf numFmtId="0" fontId="12" fillId="0" borderId="158" xfId="0" applyFont="1" applyFill="1" applyBorder="1" applyAlignment="1" applyProtection="1">
      <alignment vertical="top" wrapText="1" readingOrder="1"/>
      <protection locked="0"/>
    </xf>
    <xf numFmtId="49" fontId="12" fillId="0" borderId="158" xfId="0" applyNumberFormat="1" applyFont="1" applyFill="1" applyBorder="1" applyAlignment="1" applyProtection="1">
      <alignment horizontal="center" vertical="top" wrapText="1" readingOrder="1"/>
      <protection locked="0"/>
    </xf>
    <xf numFmtId="0" fontId="14" fillId="0" borderId="158" xfId="0" applyFont="1" applyFill="1" applyBorder="1" applyAlignment="1" applyProtection="1">
      <alignment horizontal="center" vertical="center" wrapText="1" shrinkToFit="1"/>
      <protection locked="0"/>
    </xf>
    <xf numFmtId="0" fontId="14" fillId="0" borderId="158" xfId="0" applyFont="1" applyFill="1" applyBorder="1" applyAlignment="1" applyProtection="1">
      <alignment horizontal="center" vertical="top" wrapText="1" shrinkToFit="1"/>
      <protection locked="0"/>
    </xf>
    <xf numFmtId="0" fontId="12" fillId="0" borderId="158" xfId="0" applyFont="1" applyFill="1" applyBorder="1" applyAlignment="1" applyProtection="1">
      <alignment horizontal="center" vertical="top" wrapText="1" readingOrder="1"/>
      <protection locked="0"/>
    </xf>
    <xf numFmtId="165" fontId="12" fillId="0" borderId="158" xfId="0" applyNumberFormat="1" applyFont="1" applyFill="1" applyBorder="1" applyAlignment="1" applyProtection="1">
      <alignment vertical="top" wrapText="1" readingOrder="1"/>
      <protection locked="0"/>
    </xf>
    <xf numFmtId="0" fontId="3" fillId="0" borderId="158" xfId="0" applyFont="1" applyFill="1" applyBorder="1" applyAlignment="1" applyProtection="1">
      <alignment vertical="top" wrapText="1" readingOrder="1"/>
      <protection locked="0"/>
    </xf>
    <xf numFmtId="0" fontId="6" fillId="0" borderId="158" xfId="0" applyFont="1" applyFill="1" applyBorder="1" applyAlignment="1" applyProtection="1">
      <alignment horizontal="center" vertical="center" wrapText="1" shrinkToFit="1"/>
      <protection locked="0"/>
    </xf>
    <xf numFmtId="0" fontId="5" fillId="0" borderId="3" xfId="0" applyFont="1" applyFill="1" applyBorder="1" applyAlignment="1" applyProtection="1">
      <alignment vertical="top" wrapText="1" readingOrder="1"/>
      <protection locked="0"/>
    </xf>
    <xf numFmtId="0" fontId="6" fillId="0" borderId="3" xfId="0" applyFont="1" applyFill="1" applyBorder="1" applyAlignment="1" applyProtection="1">
      <alignment horizontal="center" vertical="center" wrapText="1" shrinkToFit="1"/>
      <protection locked="0"/>
    </xf>
    <xf numFmtId="14" fontId="6" fillId="0" borderId="3" xfId="0" applyNumberFormat="1" applyFont="1" applyFill="1" applyBorder="1" applyAlignment="1" applyProtection="1">
      <alignment horizontal="center" vertical="center" wrapText="1" shrinkToFit="1"/>
      <protection locked="0"/>
    </xf>
    <xf numFmtId="49" fontId="5" fillId="0" borderId="96" xfId="0" applyNumberFormat="1" applyFont="1" applyFill="1" applyBorder="1" applyAlignment="1" applyProtection="1">
      <alignment horizontal="center" vertical="top" wrapText="1" readingOrder="1"/>
      <protection locked="0"/>
    </xf>
    <xf numFmtId="0" fontId="5" fillId="0" borderId="96" xfId="0" applyFont="1" applyFill="1" applyBorder="1" applyAlignment="1" applyProtection="1">
      <alignment horizontal="center" vertical="top" wrapText="1" readingOrder="1"/>
      <protection locked="0"/>
    </xf>
    <xf numFmtId="0" fontId="12" fillId="0" borderId="11" xfId="0" applyFont="1" applyFill="1" applyBorder="1" applyAlignment="1" applyProtection="1">
      <alignment vertical="top" wrapText="1" readingOrder="1"/>
      <protection locked="0"/>
    </xf>
    <xf numFmtId="0" fontId="6" fillId="0" borderId="2" xfId="0" applyFont="1" applyFill="1" applyBorder="1" applyAlignment="1" applyProtection="1">
      <alignment horizontal="center" vertical="top" wrapText="1" shrinkToFit="1"/>
      <protection locked="0"/>
    </xf>
    <xf numFmtId="49" fontId="3" fillId="0" borderId="16" xfId="0" applyNumberFormat="1" applyFont="1" applyFill="1" applyBorder="1" applyAlignment="1" applyProtection="1">
      <alignment horizontal="center" vertical="top" wrapText="1" readingOrder="1"/>
      <protection locked="0"/>
    </xf>
    <xf numFmtId="165" fontId="3" fillId="0" borderId="1" xfId="0" applyNumberFormat="1" applyFont="1" applyFill="1" applyBorder="1" applyAlignment="1" applyProtection="1">
      <alignment vertical="top" wrapText="1" readingOrder="1"/>
      <protection locked="0"/>
    </xf>
    <xf numFmtId="0" fontId="12" fillId="0" borderId="247" xfId="0" applyFont="1" applyFill="1" applyBorder="1" applyAlignment="1" applyProtection="1">
      <alignment vertical="top" wrapText="1" readingOrder="1"/>
      <protection locked="0"/>
    </xf>
    <xf numFmtId="165" fontId="3" fillId="0" borderId="253" xfId="0" applyNumberFormat="1" applyFont="1" applyFill="1" applyBorder="1" applyAlignment="1" applyProtection="1">
      <alignment vertical="top" wrapText="1" readingOrder="1"/>
      <protection locked="0"/>
    </xf>
    <xf numFmtId="0" fontId="6" fillId="0" borderId="53" xfId="0" applyFont="1" applyFill="1" applyBorder="1" applyAlignment="1" applyProtection="1">
      <alignment vertical="center" wrapText="1" shrinkToFit="1"/>
      <protection locked="0"/>
    </xf>
    <xf numFmtId="0" fontId="6" fillId="0" borderId="2" xfId="0" applyFont="1" applyFill="1" applyBorder="1" applyAlignment="1" applyProtection="1">
      <alignment vertical="top" wrapText="1" shrinkToFit="1"/>
      <protection locked="0"/>
    </xf>
    <xf numFmtId="0" fontId="6" fillId="0" borderId="2" xfId="0" applyFont="1" applyFill="1" applyBorder="1" applyAlignment="1" applyProtection="1">
      <alignment horizontal="center" vertical="center" wrapText="1" shrinkToFit="1"/>
      <protection locked="0"/>
    </xf>
    <xf numFmtId="0" fontId="6" fillId="0" borderId="247" xfId="0" applyFont="1" applyFill="1" applyBorder="1" applyAlignment="1" applyProtection="1">
      <alignment horizontal="center" vertical="center" wrapText="1" shrinkToFit="1"/>
      <protection locked="0"/>
    </xf>
    <xf numFmtId="0" fontId="6" fillId="0" borderId="53" xfId="0" applyFont="1" applyFill="1" applyBorder="1" applyAlignment="1" applyProtection="1">
      <alignment horizontal="center" vertical="center" wrapText="1" shrinkToFit="1"/>
      <protection locked="0"/>
    </xf>
    <xf numFmtId="0" fontId="3" fillId="0" borderId="305" xfId="0" applyFont="1" applyFill="1" applyBorder="1" applyAlignment="1" applyProtection="1">
      <alignment vertical="top" wrapText="1" readingOrder="1"/>
      <protection locked="0"/>
    </xf>
    <xf numFmtId="0" fontId="6" fillId="0" borderId="290" xfId="0" applyFont="1" applyFill="1" applyBorder="1" applyAlignment="1" applyProtection="1">
      <alignment vertical="top" wrapText="1" shrinkToFit="1"/>
      <protection locked="0"/>
    </xf>
    <xf numFmtId="49" fontId="5" fillId="0" borderId="254" xfId="0" applyNumberFormat="1" applyFont="1" applyFill="1" applyBorder="1" applyAlignment="1" applyProtection="1">
      <alignment horizontal="center" vertical="top" wrapText="1" readingOrder="1"/>
      <protection locked="0"/>
    </xf>
    <xf numFmtId="0" fontId="3" fillId="0" borderId="96" xfId="0" applyFont="1" applyFill="1" applyBorder="1" applyAlignment="1" applyProtection="1">
      <alignment horizontal="center" vertical="top" wrapText="1" shrinkToFit="1"/>
      <protection locked="0"/>
    </xf>
    <xf numFmtId="165" fontId="5" fillId="0" borderId="96" xfId="0" applyNumberFormat="1" applyFont="1" applyFill="1" applyBorder="1" applyAlignment="1" applyProtection="1">
      <alignment vertical="top" wrapText="1" readingOrder="1"/>
      <protection locked="0"/>
    </xf>
    <xf numFmtId="49" fontId="5" fillId="0" borderId="247" xfId="0" applyNumberFormat="1" applyFont="1" applyFill="1" applyBorder="1" applyAlignment="1" applyProtection="1">
      <alignment horizontal="center" vertical="top" wrapText="1" readingOrder="1"/>
      <protection locked="0"/>
    </xf>
    <xf numFmtId="0" fontId="3" fillId="0" borderId="120" xfId="1" applyFont="1" applyFill="1" applyBorder="1" applyAlignment="1">
      <alignment horizontal="center" vertical="top" wrapText="1"/>
    </xf>
    <xf numFmtId="0" fontId="3" fillId="0" borderId="120" xfId="0" applyFont="1" applyFill="1" applyBorder="1" applyAlignment="1" applyProtection="1">
      <alignment horizontal="center" vertical="top" wrapText="1" shrinkToFit="1"/>
      <protection locked="0"/>
    </xf>
    <xf numFmtId="0" fontId="5" fillId="0" borderId="120" xfId="0" applyFont="1" applyFill="1" applyBorder="1" applyAlignment="1" applyProtection="1">
      <alignment horizontal="center" vertical="top" wrapText="1" readingOrder="1"/>
      <protection locked="0"/>
    </xf>
    <xf numFmtId="165" fontId="3" fillId="0" borderId="120" xfId="0" applyNumberFormat="1" applyFont="1" applyFill="1" applyBorder="1" applyAlignment="1" applyProtection="1">
      <alignment vertical="top" wrapText="1" readingOrder="1"/>
      <protection locked="0"/>
    </xf>
    <xf numFmtId="0" fontId="3" fillId="0" borderId="100" xfId="1" applyFont="1" applyFill="1" applyBorder="1" applyAlignment="1">
      <alignment horizontal="center" vertical="top" wrapText="1"/>
    </xf>
    <xf numFmtId="0" fontId="3" fillId="0" borderId="100" xfId="0" applyFont="1" applyFill="1" applyBorder="1" applyAlignment="1" applyProtection="1">
      <alignment horizontal="center" vertical="top" wrapText="1" shrinkToFit="1"/>
      <protection locked="0"/>
    </xf>
    <xf numFmtId="0" fontId="6" fillId="0" borderId="96" xfId="0" applyFont="1" applyFill="1" applyBorder="1" applyAlignment="1" applyProtection="1">
      <alignment horizontal="center" vertical="center" wrapText="1" shrinkToFit="1"/>
      <protection locked="0"/>
    </xf>
    <xf numFmtId="14" fontId="6" fillId="0" borderId="96" xfId="0" applyNumberFormat="1" applyFont="1" applyFill="1" applyBorder="1" applyAlignment="1" applyProtection="1">
      <alignment horizontal="center" vertical="center" wrapText="1" shrinkToFit="1"/>
      <protection locked="0"/>
    </xf>
    <xf numFmtId="49" fontId="5" fillId="0" borderId="120" xfId="0" applyNumberFormat="1" applyFont="1" applyFill="1" applyBorder="1" applyAlignment="1" applyProtection="1">
      <alignment horizontal="center" vertical="top" wrapText="1" readingOrder="1"/>
      <protection locked="0"/>
    </xf>
    <xf numFmtId="49" fontId="3" fillId="0" borderId="120" xfId="0" applyNumberFormat="1" applyFont="1" applyFill="1" applyBorder="1" applyAlignment="1" applyProtection="1">
      <alignment horizontal="center" vertical="top" wrapText="1" readingOrder="1"/>
      <protection locked="0"/>
    </xf>
    <xf numFmtId="165" fontId="3" fillId="0" borderId="121" xfId="0" applyNumberFormat="1" applyFont="1" applyFill="1" applyBorder="1" applyAlignment="1" applyProtection="1">
      <alignment vertical="top" wrapText="1" readingOrder="1"/>
      <protection locked="0"/>
    </xf>
    <xf numFmtId="0" fontId="18" fillId="0" borderId="53" xfId="0" applyFont="1" applyFill="1" applyBorder="1" applyAlignment="1">
      <alignment horizontal="left" vertical="top" wrapText="1"/>
    </xf>
    <xf numFmtId="0" fontId="6" fillId="0" borderId="51" xfId="0" applyFont="1" applyFill="1" applyBorder="1" applyAlignment="1" applyProtection="1">
      <alignment horizontal="center" vertical="top" wrapText="1" shrinkToFit="1"/>
      <protection locked="0"/>
    </xf>
    <xf numFmtId="49" fontId="3" fillId="0" borderId="10" xfId="0" applyNumberFormat="1" applyFont="1" applyFill="1" applyBorder="1" applyAlignment="1" applyProtection="1">
      <alignment horizontal="center" vertical="top" wrapText="1" readingOrder="1"/>
      <protection locked="0"/>
    </xf>
    <xf numFmtId="0" fontId="19" fillId="0" borderId="53" xfId="0" applyFont="1" applyFill="1" applyBorder="1" applyAlignment="1">
      <alignment horizontal="left" vertical="top" wrapText="1"/>
    </xf>
    <xf numFmtId="0" fontId="17" fillId="0" borderId="53" xfId="0" applyFont="1" applyFill="1" applyBorder="1"/>
    <xf numFmtId="0" fontId="3" fillId="0" borderId="178" xfId="0" applyFont="1" applyFill="1" applyBorder="1" applyAlignment="1" applyProtection="1">
      <alignment vertical="top" wrapText="1" shrinkToFit="1"/>
      <protection locked="0"/>
    </xf>
    <xf numFmtId="0" fontId="3" fillId="0" borderId="174" xfId="0" applyFont="1" applyFill="1" applyBorder="1" applyAlignment="1" applyProtection="1">
      <alignment vertical="top" wrapText="1" shrinkToFit="1"/>
      <protection locked="0"/>
    </xf>
    <xf numFmtId="49" fontId="3" fillId="0" borderId="15" xfId="0" applyNumberFormat="1" applyFont="1" applyFill="1" applyBorder="1" applyAlignment="1" applyProtection="1">
      <alignment horizontal="center" vertical="top" wrapText="1" readingOrder="1"/>
      <protection locked="0"/>
    </xf>
    <xf numFmtId="0" fontId="3" fillId="0" borderId="2" xfId="0" applyFont="1" applyFill="1" applyBorder="1" applyAlignment="1" applyProtection="1">
      <alignment horizontal="left" vertical="top" wrapText="1" readingOrder="1"/>
      <protection locked="0"/>
    </xf>
    <xf numFmtId="0" fontId="6" fillId="0" borderId="15" xfId="0" applyFont="1" applyFill="1" applyBorder="1" applyAlignment="1" applyProtection="1">
      <alignment horizontal="center" vertical="top" wrapText="1" shrinkToFit="1"/>
      <protection locked="0"/>
    </xf>
    <xf numFmtId="0" fontId="3" fillId="0" borderId="245" xfId="0" applyFont="1" applyFill="1" applyBorder="1" applyAlignment="1" applyProtection="1">
      <alignment vertical="top" wrapText="1" readingOrder="1"/>
      <protection locked="0"/>
    </xf>
    <xf numFmtId="0" fontId="6" fillId="0" borderId="253" xfId="0" applyFont="1" applyFill="1" applyBorder="1" applyAlignment="1" applyProtection="1">
      <alignment vertical="top" wrapText="1" shrinkToFit="1"/>
      <protection locked="0"/>
    </xf>
    <xf numFmtId="0" fontId="6" fillId="0" borderId="178" xfId="0" applyFont="1" applyFill="1" applyBorder="1" applyAlignment="1" applyProtection="1">
      <alignment vertical="top" wrapText="1" shrinkToFit="1"/>
      <protection locked="0"/>
    </xf>
    <xf numFmtId="0" fontId="3" fillId="0" borderId="293" xfId="0" applyFont="1" applyFill="1" applyBorder="1" applyAlignment="1" applyProtection="1">
      <alignment vertical="top" wrapText="1" shrinkToFit="1"/>
      <protection locked="0"/>
    </xf>
    <xf numFmtId="0" fontId="3" fillId="0" borderId="294" xfId="0" applyFont="1" applyFill="1" applyBorder="1" applyAlignment="1" applyProtection="1">
      <alignment vertical="top" wrapText="1" shrinkToFit="1"/>
      <protection locked="0"/>
    </xf>
    <xf numFmtId="165" fontId="3" fillId="0" borderId="156" xfId="0" applyNumberFormat="1" applyFont="1" applyFill="1" applyBorder="1" applyAlignment="1" applyProtection="1">
      <alignment vertical="top" wrapText="1" readingOrder="1"/>
      <protection locked="0"/>
    </xf>
    <xf numFmtId="165" fontId="3" fillId="0" borderId="215" xfId="0" applyNumberFormat="1" applyFont="1" applyFill="1" applyBorder="1" applyAlignment="1" applyProtection="1">
      <alignment vertical="top" wrapText="1" readingOrder="1"/>
      <protection locked="0"/>
    </xf>
    <xf numFmtId="0" fontId="3" fillId="0" borderId="294" xfId="0" applyFont="1" applyFill="1" applyBorder="1" applyAlignment="1" applyProtection="1">
      <alignment vertical="top" wrapText="1" readingOrder="1"/>
      <protection locked="0"/>
    </xf>
    <xf numFmtId="0" fontId="6" fillId="0" borderId="305" xfId="0" applyFont="1" applyFill="1" applyBorder="1" applyAlignment="1" applyProtection="1">
      <alignment vertical="top" wrapText="1" shrinkToFit="1"/>
      <protection locked="0"/>
    </xf>
    <xf numFmtId="0" fontId="3" fillId="0" borderId="179" xfId="0" applyFont="1" applyFill="1" applyBorder="1" applyAlignment="1" applyProtection="1">
      <alignment horizontal="center" vertical="top" wrapText="1" shrinkToFit="1"/>
      <protection locked="0"/>
    </xf>
    <xf numFmtId="0" fontId="12" fillId="0" borderId="0" xfId="0" applyFont="1" applyFill="1" applyBorder="1" applyAlignment="1" applyProtection="1">
      <alignment horizontal="left" vertical="top" wrapText="1" readingOrder="1"/>
      <protection locked="0"/>
    </xf>
    <xf numFmtId="0" fontId="6" fillId="0" borderId="305" xfId="0" applyFont="1" applyFill="1" applyBorder="1" applyAlignment="1" applyProtection="1">
      <alignment horizontal="center" vertical="top" wrapText="1" shrinkToFit="1"/>
      <protection locked="0"/>
    </xf>
    <xf numFmtId="0" fontId="6" fillId="0" borderId="294" xfId="0" applyFont="1" applyFill="1" applyBorder="1" applyAlignment="1" applyProtection="1">
      <alignment horizontal="center" vertical="top" wrapText="1" shrinkToFit="1"/>
      <protection locked="0"/>
    </xf>
    <xf numFmtId="0" fontId="12" fillId="0" borderId="294" xfId="0" applyFont="1" applyFill="1" applyBorder="1" applyAlignment="1" applyProtection="1">
      <alignment horizontal="left" vertical="top" wrapText="1" readingOrder="1"/>
      <protection locked="0"/>
    </xf>
    <xf numFmtId="0" fontId="6" fillId="0" borderId="179" xfId="0" applyFont="1" applyFill="1" applyBorder="1" applyAlignment="1" applyProtection="1">
      <alignment horizontal="center" vertical="top" wrapText="1" shrinkToFit="1"/>
      <protection locked="0"/>
    </xf>
    <xf numFmtId="0" fontId="4" fillId="0" borderId="106" xfId="0" applyFont="1" applyFill="1" applyBorder="1" applyAlignment="1">
      <alignment horizontal="center" vertical="top" wrapText="1"/>
    </xf>
    <xf numFmtId="0" fontId="4" fillId="0" borderId="118" xfId="0" applyFont="1" applyFill="1" applyBorder="1" applyAlignment="1">
      <alignment horizontal="center" vertical="top" wrapText="1"/>
    </xf>
    <xf numFmtId="165" fontId="3" fillId="0" borderId="183" xfId="0" applyNumberFormat="1" applyFont="1" applyFill="1" applyBorder="1" applyAlignment="1" applyProtection="1">
      <alignment vertical="top" wrapText="1" readingOrder="1"/>
      <protection locked="0"/>
    </xf>
    <xf numFmtId="0" fontId="12" fillId="0" borderId="102" xfId="0" applyFont="1" applyFill="1" applyBorder="1" applyAlignment="1" applyProtection="1">
      <alignment vertical="top" wrapText="1" readingOrder="1"/>
      <protection locked="0"/>
    </xf>
    <xf numFmtId="0" fontId="3" fillId="0" borderId="102" xfId="0" applyFont="1" applyFill="1" applyBorder="1" applyAlignment="1" applyProtection="1">
      <alignment horizontal="center" vertical="top" wrapText="1" readingOrder="1"/>
      <protection locked="0"/>
    </xf>
    <xf numFmtId="49" fontId="3" fillId="0" borderId="102" xfId="0" applyNumberFormat="1" applyFont="1" applyFill="1" applyBorder="1" applyAlignment="1" applyProtection="1">
      <alignment horizontal="center" vertical="top" wrapText="1" readingOrder="1"/>
      <protection locked="0"/>
    </xf>
    <xf numFmtId="165" fontId="3" fillId="0" borderId="102" xfId="0" applyNumberFormat="1" applyFont="1" applyFill="1" applyBorder="1" applyAlignment="1" applyProtection="1">
      <alignment vertical="top" wrapText="1" readingOrder="1"/>
      <protection locked="0"/>
    </xf>
    <xf numFmtId="165" fontId="3" fillId="0" borderId="103" xfId="0" applyNumberFormat="1" applyFont="1" applyFill="1" applyBorder="1" applyAlignment="1" applyProtection="1">
      <alignment vertical="top" wrapText="1" readingOrder="1"/>
      <protection locked="0"/>
    </xf>
    <xf numFmtId="165" fontId="3" fillId="0" borderId="248" xfId="0" applyNumberFormat="1" applyFont="1" applyFill="1" applyBorder="1" applyAlignment="1" applyProtection="1">
      <alignment vertical="top" wrapText="1" readingOrder="1"/>
      <protection locked="0"/>
    </xf>
    <xf numFmtId="165" fontId="3" fillId="0" borderId="177" xfId="0" applyNumberFormat="1" applyFont="1" applyFill="1" applyBorder="1" applyAlignment="1" applyProtection="1">
      <alignment vertical="top" wrapText="1" readingOrder="1"/>
      <protection locked="0"/>
    </xf>
    <xf numFmtId="165" fontId="3" fillId="0" borderId="295" xfId="0" applyNumberFormat="1" applyFont="1" applyFill="1" applyBorder="1" applyAlignment="1" applyProtection="1">
      <alignment vertical="top" wrapText="1" readingOrder="1"/>
      <protection locked="0"/>
    </xf>
    <xf numFmtId="165" fontId="3" fillId="0" borderId="179" xfId="0" applyNumberFormat="1" applyFont="1" applyFill="1" applyBorder="1" applyAlignment="1" applyProtection="1">
      <alignment vertical="top" wrapText="1" readingOrder="1"/>
      <protection locked="0"/>
    </xf>
    <xf numFmtId="0" fontId="12" fillId="0" borderId="245" xfId="0" applyFont="1" applyFill="1" applyBorder="1" applyAlignment="1" applyProtection="1">
      <alignment vertical="top" wrapText="1" readingOrder="1"/>
      <protection locked="0"/>
    </xf>
    <xf numFmtId="0" fontId="14" fillId="0" borderId="253" xfId="0" applyFont="1" applyFill="1" applyBorder="1" applyAlignment="1" applyProtection="1">
      <alignment vertical="top" wrapText="1" shrinkToFit="1"/>
      <protection locked="0"/>
    </xf>
    <xf numFmtId="0" fontId="14" fillId="0" borderId="178" xfId="0" applyFont="1" applyFill="1" applyBorder="1" applyAlignment="1" applyProtection="1">
      <alignment vertical="top" wrapText="1" shrinkToFit="1"/>
      <protection locked="0"/>
    </xf>
    <xf numFmtId="165" fontId="12" fillId="0" borderId="179" xfId="0" applyNumberFormat="1" applyFont="1" applyFill="1" applyBorder="1" applyAlignment="1" applyProtection="1">
      <alignment vertical="top" wrapText="1" readingOrder="1"/>
      <protection locked="0"/>
    </xf>
    <xf numFmtId="165" fontId="12" fillId="0" borderId="208" xfId="0" applyNumberFormat="1" applyFont="1" applyFill="1" applyBorder="1" applyAlignment="1" applyProtection="1">
      <alignment vertical="top" wrapText="1" readingOrder="1"/>
      <protection locked="0"/>
    </xf>
    <xf numFmtId="0" fontId="3" fillId="0" borderId="255" xfId="0" applyFont="1" applyFill="1" applyBorder="1" applyAlignment="1" applyProtection="1">
      <alignment vertical="top" wrapText="1" readingOrder="1"/>
      <protection locked="0"/>
    </xf>
    <xf numFmtId="0" fontId="5" fillId="0" borderId="3" xfId="0" applyFont="1" applyFill="1" applyBorder="1" applyAlignment="1" applyProtection="1">
      <alignment horizontal="center" vertical="top" wrapText="1" readingOrder="1"/>
      <protection locked="0"/>
    </xf>
    <xf numFmtId="0" fontId="5" fillId="0" borderId="255" xfId="0" applyFont="1" applyFill="1" applyBorder="1" applyAlignment="1" applyProtection="1">
      <alignment vertical="top" wrapText="1" readingOrder="1"/>
      <protection locked="0"/>
    </xf>
    <xf numFmtId="0" fontId="11" fillId="0" borderId="3" xfId="0" applyFont="1" applyFill="1" applyBorder="1" applyAlignment="1" applyProtection="1">
      <alignment horizontal="center" vertical="center" wrapText="1" shrinkToFit="1"/>
      <protection locked="0"/>
    </xf>
    <xf numFmtId="0" fontId="11" fillId="0" borderId="216" xfId="0" applyFont="1" applyFill="1" applyBorder="1" applyAlignment="1" applyProtection="1">
      <alignment horizontal="center" vertical="center" wrapText="1" shrinkToFit="1"/>
      <protection locked="0"/>
    </xf>
    <xf numFmtId="0" fontId="11" fillId="0" borderId="5" xfId="0" applyFont="1" applyFill="1" applyBorder="1" applyAlignment="1" applyProtection="1">
      <alignment horizontal="center" vertical="center" wrapText="1" shrinkToFit="1"/>
      <protection locked="0"/>
    </xf>
    <xf numFmtId="0" fontId="12" fillId="0" borderId="188" xfId="0" applyFont="1" applyFill="1" applyBorder="1" applyAlignment="1" applyProtection="1">
      <alignment vertical="top" wrapText="1" readingOrder="1"/>
      <protection locked="0"/>
    </xf>
    <xf numFmtId="0" fontId="5" fillId="0" borderId="188" xfId="0" applyFont="1" applyFill="1" applyBorder="1" applyAlignment="1" applyProtection="1">
      <alignment horizontal="center" vertical="top" wrapText="1" readingOrder="1"/>
      <protection locked="0"/>
    </xf>
    <xf numFmtId="0" fontId="6" fillId="0" borderId="188" xfId="0" applyFont="1" applyFill="1" applyBorder="1" applyAlignment="1" applyProtection="1">
      <alignment horizontal="center" vertical="top" wrapText="1" shrinkToFit="1"/>
      <protection locked="0"/>
    </xf>
    <xf numFmtId="0" fontId="3" fillId="0" borderId="188" xfId="0" applyFont="1" applyFill="1" applyBorder="1" applyAlignment="1" applyProtection="1">
      <alignment horizontal="center" vertical="top" wrapText="1" readingOrder="1"/>
      <protection locked="0"/>
    </xf>
    <xf numFmtId="0" fontId="5" fillId="0" borderId="174" xfId="0" applyFont="1" applyFill="1" applyBorder="1" applyAlignment="1" applyProtection="1">
      <alignment horizontal="center" vertical="top" wrapText="1" readingOrder="1"/>
      <protection locked="0"/>
    </xf>
    <xf numFmtId="0" fontId="5" fillId="0" borderId="111" xfId="0" applyFont="1" applyFill="1" applyBorder="1" applyAlignment="1" applyProtection="1">
      <alignment vertical="top" wrapText="1" readingOrder="1"/>
      <protection locked="0"/>
    </xf>
    <xf numFmtId="0" fontId="6" fillId="0" borderId="3" xfId="0" applyFont="1" applyFill="1" applyBorder="1" applyAlignment="1" applyProtection="1">
      <alignment horizontal="center" vertical="top" wrapText="1" shrinkToFit="1"/>
      <protection locked="0"/>
    </xf>
    <xf numFmtId="0" fontId="3" fillId="0" borderId="120" xfId="0" applyFont="1" applyFill="1" applyBorder="1" applyAlignment="1" applyProtection="1">
      <alignment horizontal="center" vertical="top" wrapText="1" readingOrder="1"/>
      <protection locked="0"/>
    </xf>
    <xf numFmtId="0" fontId="3" fillId="0" borderId="100" xfId="0" applyFont="1" applyFill="1" applyBorder="1" applyAlignment="1" applyProtection="1">
      <alignment vertical="top" wrapText="1" readingOrder="1"/>
      <protection locked="0"/>
    </xf>
    <xf numFmtId="49" fontId="3" fillId="0" borderId="100" xfId="0" applyNumberFormat="1" applyFont="1" applyFill="1" applyBorder="1" applyAlignment="1" applyProtection="1">
      <alignment horizontal="center" vertical="top" wrapText="1" readingOrder="1"/>
      <protection locked="0"/>
    </xf>
    <xf numFmtId="0" fontId="3" fillId="0" borderId="100" xfId="0" applyFont="1" applyFill="1" applyBorder="1" applyAlignment="1" applyProtection="1">
      <alignment horizontal="center" vertical="top" wrapText="1" readingOrder="1"/>
      <protection locked="0"/>
    </xf>
    <xf numFmtId="14" fontId="3" fillId="0" borderId="100" xfId="0" applyNumberFormat="1" applyFont="1" applyFill="1" applyBorder="1" applyAlignment="1" applyProtection="1">
      <alignment horizontal="center" vertical="top" wrapText="1" readingOrder="1"/>
      <protection locked="0"/>
    </xf>
    <xf numFmtId="165" fontId="3" fillId="0" borderId="100" xfId="0" applyNumberFormat="1" applyFont="1" applyFill="1" applyBorder="1" applyAlignment="1" applyProtection="1">
      <alignment vertical="top" wrapText="1" readingOrder="1"/>
      <protection locked="0"/>
    </xf>
    <xf numFmtId="0" fontId="5" fillId="0" borderId="101" xfId="0" applyFont="1" applyFill="1" applyBorder="1" applyAlignment="1" applyProtection="1">
      <alignment vertical="top" wrapText="1" readingOrder="1"/>
      <protection locked="0"/>
    </xf>
    <xf numFmtId="0" fontId="5" fillId="0" borderId="101" xfId="0" applyFont="1" applyFill="1" applyBorder="1" applyAlignment="1" applyProtection="1">
      <alignment horizontal="center" vertical="top" wrapText="1" readingOrder="1"/>
      <protection locked="0"/>
    </xf>
    <xf numFmtId="0" fontId="4" fillId="0" borderId="101" xfId="0" applyFont="1" applyFill="1" applyBorder="1" applyAlignment="1">
      <alignment horizontal="center" vertical="top" wrapText="1"/>
    </xf>
    <xf numFmtId="0" fontId="3" fillId="0" borderId="101" xfId="1" applyFont="1" applyFill="1" applyBorder="1" applyAlignment="1">
      <alignment horizontal="center" vertical="top" wrapText="1"/>
    </xf>
    <xf numFmtId="0" fontId="3" fillId="0" borderId="101" xfId="0" applyFont="1" applyFill="1" applyBorder="1" applyAlignment="1" applyProtection="1">
      <alignment horizontal="center" vertical="top" wrapText="1" shrinkToFit="1"/>
      <protection locked="0"/>
    </xf>
    <xf numFmtId="165" fontId="5" fillId="0" borderId="101" xfId="0" applyNumberFormat="1" applyFont="1" applyFill="1" applyBorder="1" applyAlignment="1" applyProtection="1">
      <alignment vertical="top" wrapText="1" readingOrder="1"/>
      <protection locked="0"/>
    </xf>
    <xf numFmtId="0" fontId="12" fillId="0" borderId="105" xfId="0" applyFont="1" applyFill="1" applyBorder="1" applyAlignment="1" applyProtection="1">
      <alignment vertical="top" wrapText="1" readingOrder="1"/>
      <protection locked="0"/>
    </xf>
    <xf numFmtId="0" fontId="3" fillId="0" borderId="105" xfId="0" applyFont="1" applyFill="1" applyBorder="1" applyAlignment="1" applyProtection="1">
      <alignment horizontal="center" vertical="top" wrapText="1" readingOrder="1"/>
      <protection locked="0"/>
    </xf>
    <xf numFmtId="0" fontId="4" fillId="0" borderId="105" xfId="0" applyFont="1" applyFill="1" applyBorder="1" applyAlignment="1">
      <alignment horizontal="center" vertical="top" wrapText="1"/>
    </xf>
    <xf numFmtId="0" fontId="3" fillId="0" borderId="120" xfId="0" applyFont="1" applyFill="1" applyBorder="1" applyAlignment="1" applyProtection="1">
      <alignment vertical="top" wrapText="1" shrinkToFit="1"/>
      <protection locked="0"/>
    </xf>
    <xf numFmtId="165" fontId="3" fillId="0" borderId="105" xfId="0" applyNumberFormat="1" applyFont="1" applyFill="1" applyBorder="1" applyAlignment="1" applyProtection="1">
      <alignment vertical="top" wrapText="1" readingOrder="1"/>
      <protection locked="0"/>
    </xf>
    <xf numFmtId="14" fontId="6" fillId="0" borderId="53" xfId="0" applyNumberFormat="1" applyFont="1" applyFill="1" applyBorder="1" applyAlignment="1" applyProtection="1">
      <alignment horizontal="center" vertical="top" wrapText="1" shrinkToFit="1"/>
      <protection locked="0"/>
    </xf>
    <xf numFmtId="0" fontId="4" fillId="0" borderId="100" xfId="0" applyFont="1" applyFill="1" applyBorder="1" applyAlignment="1">
      <alignment horizontal="center" vertical="top" wrapText="1"/>
    </xf>
    <xf numFmtId="0" fontId="5" fillId="0" borderId="111" xfId="0" applyFont="1" applyFill="1" applyBorder="1" applyAlignment="1" applyProtection="1">
      <alignment horizontal="center" vertical="top" wrapText="1" readingOrder="1"/>
      <protection locked="0"/>
    </xf>
    <xf numFmtId="0" fontId="3" fillId="0" borderId="111" xfId="0" applyFont="1" applyFill="1" applyBorder="1" applyAlignment="1" applyProtection="1">
      <alignment vertical="top" wrapText="1" readingOrder="1"/>
      <protection locked="0"/>
    </xf>
    <xf numFmtId="165" fontId="5" fillId="0" borderId="111" xfId="0" applyNumberFormat="1" applyFont="1" applyFill="1" applyBorder="1" applyAlignment="1" applyProtection="1">
      <alignment vertical="top" wrapText="1" readingOrder="1"/>
      <protection locked="0"/>
    </xf>
    <xf numFmtId="0" fontId="12" fillId="0" borderId="161" xfId="0" applyFont="1" applyFill="1" applyBorder="1" applyAlignment="1" applyProtection="1">
      <alignment vertical="top" wrapText="1" readingOrder="1"/>
      <protection locked="0"/>
    </xf>
    <xf numFmtId="0" fontId="5" fillId="0" borderId="161" xfId="0" applyFont="1" applyFill="1" applyBorder="1" applyAlignment="1" applyProtection="1">
      <alignment horizontal="center" vertical="top" wrapText="1" readingOrder="1"/>
      <protection locked="0"/>
    </xf>
    <xf numFmtId="14" fontId="4" fillId="0" borderId="53" xfId="0" applyNumberFormat="1" applyFont="1" applyFill="1" applyBorder="1" applyAlignment="1">
      <alignment horizontal="center" vertical="top" wrapText="1"/>
    </xf>
    <xf numFmtId="0" fontId="3" fillId="0" borderId="53" xfId="0" applyFont="1" applyFill="1" applyBorder="1" applyAlignment="1" applyProtection="1">
      <alignment horizontal="center" vertical="top" wrapText="1"/>
      <protection locked="0"/>
    </xf>
    <xf numFmtId="0" fontId="5" fillId="0" borderId="0" xfId="0" applyFont="1" applyFill="1" applyAlignment="1" applyProtection="1">
      <alignment horizontal="center" vertical="top" wrapText="1" readingOrder="1"/>
      <protection locked="0"/>
    </xf>
    <xf numFmtId="49" fontId="3" fillId="0" borderId="5" xfId="0" applyNumberFormat="1" applyFont="1" applyFill="1" applyBorder="1" applyAlignment="1" applyProtection="1">
      <alignment horizontal="center" vertical="top" wrapText="1" readingOrder="1"/>
      <protection locked="0"/>
    </xf>
    <xf numFmtId="165" fontId="3" fillId="0" borderId="5" xfId="0" applyNumberFormat="1" applyFont="1" applyFill="1" applyBorder="1" applyAlignment="1" applyProtection="1">
      <alignment vertical="top" wrapText="1" readingOrder="1"/>
      <protection locked="0"/>
    </xf>
    <xf numFmtId="165" fontId="3" fillId="0" borderId="77" xfId="0" applyNumberFormat="1" applyFont="1" applyFill="1" applyBorder="1" applyAlignment="1" applyProtection="1">
      <alignment vertical="top" wrapText="1" readingOrder="1"/>
      <protection locked="0"/>
    </xf>
    <xf numFmtId="0" fontId="5" fillId="0" borderId="77" xfId="0" applyFont="1" applyFill="1" applyBorder="1" applyAlignment="1" applyProtection="1">
      <alignment vertical="top" wrapText="1" readingOrder="1"/>
      <protection locked="0"/>
    </xf>
    <xf numFmtId="49" fontId="5" fillId="0" borderId="77" xfId="0" applyNumberFormat="1" applyFont="1" applyFill="1" applyBorder="1" applyAlignment="1" applyProtection="1">
      <alignment horizontal="center" vertical="top" wrapText="1" readingOrder="1"/>
      <protection locked="0"/>
    </xf>
    <xf numFmtId="0" fontId="3" fillId="0" borderId="257" xfId="0" applyFont="1" applyFill="1" applyBorder="1" applyAlignment="1" applyProtection="1">
      <alignment horizontal="center" vertical="top" wrapText="1" readingOrder="1"/>
      <protection locked="0"/>
    </xf>
    <xf numFmtId="0" fontId="3" fillId="0" borderId="77" xfId="0" applyFont="1" applyFill="1" applyBorder="1" applyAlignment="1" applyProtection="1">
      <alignment horizontal="center" vertical="top" wrapText="1" shrinkToFit="1"/>
      <protection locked="0"/>
    </xf>
    <xf numFmtId="165" fontId="5" fillId="0" borderId="77" xfId="0" applyNumberFormat="1" applyFont="1" applyFill="1" applyBorder="1" applyAlignment="1" applyProtection="1">
      <alignment vertical="top" wrapText="1" readingOrder="1"/>
      <protection locked="0"/>
    </xf>
    <xf numFmtId="0" fontId="12" fillId="0" borderId="220" xfId="0" applyFont="1" applyFill="1" applyBorder="1" applyAlignment="1" applyProtection="1">
      <alignment vertical="top" wrapText="1" readingOrder="1"/>
      <protection locked="0"/>
    </xf>
    <xf numFmtId="0" fontId="5" fillId="0" borderId="241" xfId="0" applyFont="1" applyFill="1" applyBorder="1" applyAlignment="1" applyProtection="1">
      <alignment vertical="top" wrapText="1" readingOrder="1"/>
      <protection locked="0"/>
    </xf>
    <xf numFmtId="0" fontId="5" fillId="0" borderId="219" xfId="0" applyFont="1" applyFill="1" applyBorder="1" applyAlignment="1" applyProtection="1">
      <alignment vertical="top" wrapText="1" readingOrder="1"/>
      <protection locked="0"/>
    </xf>
    <xf numFmtId="0" fontId="20" fillId="0" borderId="219" xfId="0" applyFont="1" applyFill="1" applyBorder="1" applyAlignment="1">
      <alignment horizontal="center" vertical="top" wrapText="1"/>
    </xf>
    <xf numFmtId="0" fontId="20" fillId="0" borderId="241" xfId="0" applyFont="1" applyFill="1" applyBorder="1" applyAlignment="1">
      <alignment horizontal="center" vertical="top" wrapText="1"/>
    </xf>
    <xf numFmtId="0" fontId="3" fillId="0" borderId="240" xfId="0" applyFont="1" applyFill="1" applyBorder="1" applyAlignment="1" applyProtection="1">
      <alignment horizontal="center" vertical="top" wrapText="1" shrinkToFit="1"/>
      <protection locked="0"/>
    </xf>
    <xf numFmtId="0" fontId="3" fillId="0" borderId="220" xfId="0" applyFont="1" applyFill="1" applyBorder="1" applyAlignment="1" applyProtection="1">
      <alignment horizontal="center" vertical="top" wrapText="1" shrinkToFit="1"/>
      <protection locked="0"/>
    </xf>
    <xf numFmtId="165" fontId="3" fillId="0" borderId="240" xfId="0" applyNumberFormat="1" applyFont="1" applyFill="1" applyBorder="1" applyAlignment="1" applyProtection="1">
      <alignment vertical="top" wrapText="1" readingOrder="1"/>
      <protection locked="0"/>
    </xf>
    <xf numFmtId="0" fontId="12" fillId="0" borderId="156" xfId="0" applyFont="1" applyFill="1" applyBorder="1" applyAlignment="1" applyProtection="1">
      <alignment vertical="top" wrapText="1" readingOrder="1"/>
      <protection locked="0"/>
    </xf>
    <xf numFmtId="49" fontId="5" fillId="0" borderId="166" xfId="0" applyNumberFormat="1" applyFont="1" applyFill="1" applyBorder="1" applyAlignment="1" applyProtection="1">
      <alignment horizontal="center" vertical="top" wrapText="1" readingOrder="1"/>
      <protection locked="0"/>
    </xf>
    <xf numFmtId="0" fontId="5" fillId="0" borderId="0" xfId="0" applyFont="1" applyFill="1" applyAlignment="1" applyProtection="1">
      <alignment vertical="top" wrapText="1" readingOrder="1"/>
      <protection locked="0"/>
    </xf>
    <xf numFmtId="0" fontId="5" fillId="0" borderId="166" xfId="0" applyFont="1" applyFill="1" applyBorder="1" applyAlignment="1" applyProtection="1">
      <alignment vertical="top" wrapText="1" readingOrder="1"/>
      <protection locked="0"/>
    </xf>
    <xf numFmtId="0" fontId="20" fillId="0" borderId="166" xfId="0" applyFont="1" applyFill="1" applyBorder="1" applyAlignment="1">
      <alignment horizontal="center" vertical="top" wrapText="1"/>
    </xf>
    <xf numFmtId="0" fontId="20" fillId="0" borderId="0" xfId="0" applyFont="1" applyFill="1" applyAlignment="1">
      <alignment horizontal="center" vertical="top" wrapText="1"/>
    </xf>
    <xf numFmtId="0" fontId="3" fillId="0" borderId="215" xfId="0" applyFont="1" applyFill="1" applyBorder="1" applyAlignment="1" applyProtection="1">
      <alignment horizontal="center" vertical="top" wrapText="1" shrinkToFit="1"/>
      <protection locked="0"/>
    </xf>
    <xf numFmtId="0" fontId="4" fillId="0" borderId="215" xfId="0" applyFont="1" applyFill="1" applyBorder="1" applyAlignment="1">
      <alignment horizontal="center" vertical="top" wrapText="1"/>
    </xf>
    <xf numFmtId="0" fontId="4" fillId="0" borderId="156" xfId="0" applyFont="1" applyFill="1" applyBorder="1" applyAlignment="1">
      <alignment horizontal="center" vertical="top" wrapText="1"/>
    </xf>
    <xf numFmtId="0" fontId="5" fillId="0" borderId="200" xfId="0" applyFont="1" applyFill="1" applyBorder="1" applyAlignment="1" applyProtection="1">
      <alignment vertical="top" wrapText="1" readingOrder="1"/>
      <protection locked="0"/>
    </xf>
    <xf numFmtId="0" fontId="20" fillId="0" borderId="200" xfId="0" applyFont="1" applyFill="1" applyBorder="1" applyAlignment="1">
      <alignment horizontal="center" vertical="top" wrapText="1"/>
    </xf>
    <xf numFmtId="0" fontId="5" fillId="0" borderId="43" xfId="0" applyFont="1" applyFill="1" applyBorder="1" applyAlignment="1" applyProtection="1">
      <alignment vertical="top" wrapText="1" readingOrder="1"/>
      <protection locked="0"/>
    </xf>
    <xf numFmtId="49" fontId="5" fillId="0" borderId="43" xfId="0" applyNumberFormat="1" applyFont="1" applyFill="1" applyBorder="1" applyAlignment="1" applyProtection="1">
      <alignment horizontal="center" vertical="top" wrapText="1" readingOrder="1"/>
      <protection locked="0"/>
    </xf>
    <xf numFmtId="0" fontId="3" fillId="0" borderId="43" xfId="0" applyFont="1" applyFill="1" applyBorder="1" applyAlignment="1" applyProtection="1">
      <alignment vertical="top" wrapText="1"/>
      <protection locked="0"/>
    </xf>
    <xf numFmtId="0" fontId="3" fillId="0" borderId="43" xfId="0" applyFont="1" applyFill="1" applyBorder="1" applyAlignment="1" applyProtection="1">
      <alignment horizontal="center" vertical="top" wrapText="1"/>
      <protection locked="0"/>
    </xf>
    <xf numFmtId="0" fontId="3" fillId="0" borderId="41" xfId="0" applyFont="1" applyFill="1" applyBorder="1" applyAlignment="1" applyProtection="1">
      <alignment horizontal="center" vertical="top" wrapText="1" shrinkToFit="1"/>
      <protection locked="0"/>
    </xf>
    <xf numFmtId="0" fontId="3" fillId="0" borderId="40" xfId="0" applyFont="1" applyFill="1" applyBorder="1" applyAlignment="1" applyProtection="1">
      <alignment horizontal="center" vertical="top" wrapText="1" shrinkToFit="1"/>
      <protection locked="0"/>
    </xf>
    <xf numFmtId="0" fontId="3" fillId="0" borderId="42" xfId="0" applyFont="1" applyFill="1" applyBorder="1" applyAlignment="1" applyProtection="1">
      <alignment horizontal="center" vertical="top" wrapText="1" shrinkToFit="1"/>
      <protection locked="0"/>
    </xf>
    <xf numFmtId="165" fontId="5" fillId="0" borderId="41" xfId="0" applyNumberFormat="1" applyFont="1" applyFill="1" applyBorder="1" applyAlignment="1" applyProtection="1">
      <alignment vertical="top" wrapText="1" readingOrder="1"/>
      <protection locked="0"/>
    </xf>
    <xf numFmtId="0" fontId="5" fillId="0" borderId="11" xfId="0" applyFont="1" applyFill="1" applyBorder="1" applyAlignment="1" applyProtection="1">
      <alignment vertical="top" wrapText="1"/>
      <protection locked="0"/>
    </xf>
    <xf numFmtId="0" fontId="5" fillId="0" borderId="11" xfId="0" applyFont="1" applyFill="1" applyBorder="1" applyAlignment="1" applyProtection="1">
      <alignment horizontal="center" vertical="top" wrapText="1"/>
      <protection locked="0"/>
    </xf>
    <xf numFmtId="0" fontId="4" fillId="0" borderId="11" xfId="0" applyFont="1" applyFill="1" applyBorder="1" applyAlignment="1" applyProtection="1">
      <alignment horizontal="center" vertical="top" wrapText="1" shrinkToFit="1"/>
      <protection locked="0"/>
    </xf>
    <xf numFmtId="165" fontId="5" fillId="0" borderId="12" xfId="0" applyNumberFormat="1" applyFont="1" applyFill="1" applyBorder="1" applyAlignment="1" applyProtection="1">
      <alignment vertical="top" wrapText="1" readingOrder="1"/>
      <protection locked="0"/>
    </xf>
    <xf numFmtId="0" fontId="5" fillId="0" borderId="7" xfId="0" applyFont="1" applyFill="1" applyBorder="1" applyAlignment="1" applyProtection="1">
      <alignment vertical="top" wrapText="1" readingOrder="1"/>
      <protection locked="0"/>
    </xf>
    <xf numFmtId="49" fontId="5" fillId="0" borderId="7" xfId="0" applyNumberFormat="1" applyFont="1" applyFill="1" applyBorder="1" applyAlignment="1" applyProtection="1">
      <alignment horizontal="center" vertical="top" wrapText="1" readingOrder="1"/>
      <protection locked="0"/>
    </xf>
    <xf numFmtId="0" fontId="5" fillId="0" borderId="7" xfId="0" applyFont="1" applyFill="1" applyBorder="1" applyAlignment="1" applyProtection="1">
      <alignment vertical="top" wrapText="1"/>
      <protection locked="0"/>
    </xf>
    <xf numFmtId="0" fontId="5" fillId="0" borderId="7" xfId="0" applyFont="1" applyFill="1" applyBorder="1" applyAlignment="1" applyProtection="1">
      <alignment horizontal="center" vertical="top" wrapText="1"/>
      <protection locked="0"/>
    </xf>
    <xf numFmtId="0" fontId="4" fillId="0" borderId="7" xfId="0" applyFont="1" applyFill="1" applyBorder="1" applyAlignment="1" applyProtection="1">
      <alignment horizontal="center" vertical="top" wrapText="1" shrinkToFit="1"/>
      <protection locked="0"/>
    </xf>
    <xf numFmtId="165" fontId="5" fillId="0" borderId="27" xfId="0" applyNumberFormat="1" applyFont="1" applyFill="1" applyBorder="1" applyAlignment="1" applyProtection="1">
      <alignment vertical="top" wrapText="1" readingOrder="1"/>
      <protection locked="0"/>
    </xf>
    <xf numFmtId="49" fontId="5" fillId="0" borderId="174" xfId="0" applyNumberFormat="1" applyFont="1" applyFill="1" applyBorder="1" applyAlignment="1" applyProtection="1">
      <alignment horizontal="center" vertical="top" wrapText="1" readingOrder="1"/>
      <protection locked="0"/>
    </xf>
    <xf numFmtId="0" fontId="5" fillId="0" borderId="174" xfId="0" applyFont="1" applyFill="1" applyBorder="1" applyAlignment="1" applyProtection="1">
      <alignment vertical="top" wrapText="1"/>
      <protection locked="0"/>
    </xf>
    <xf numFmtId="0" fontId="5" fillId="0" borderId="174" xfId="0" applyFont="1" applyFill="1" applyBorder="1" applyAlignment="1" applyProtection="1">
      <alignment horizontal="center" vertical="top" wrapText="1"/>
      <protection locked="0"/>
    </xf>
    <xf numFmtId="49" fontId="5" fillId="0" borderId="179" xfId="0" applyNumberFormat="1" applyFont="1" applyFill="1" applyBorder="1" applyAlignment="1" applyProtection="1">
      <alignment horizontal="center" vertical="top" wrapText="1" readingOrder="1"/>
      <protection locked="0"/>
    </xf>
    <xf numFmtId="165" fontId="5" fillId="0" borderId="215" xfId="0" applyNumberFormat="1" applyFont="1" applyFill="1" applyBorder="1" applyAlignment="1" applyProtection="1">
      <alignment vertical="top" wrapText="1" readingOrder="1"/>
      <protection locked="0"/>
    </xf>
    <xf numFmtId="0" fontId="5" fillId="0" borderId="160" xfId="0" applyFont="1" applyFill="1" applyBorder="1" applyAlignment="1" applyProtection="1">
      <alignment vertical="top" wrapText="1" readingOrder="1"/>
      <protection locked="0"/>
    </xf>
    <xf numFmtId="0" fontId="5" fillId="0" borderId="257" xfId="0" applyFont="1" applyFill="1" applyBorder="1" applyAlignment="1" applyProtection="1">
      <alignment horizontal="center" vertical="top" wrapText="1" readingOrder="1"/>
      <protection locked="0"/>
    </xf>
    <xf numFmtId="49" fontId="5" fillId="0" borderId="257" xfId="0" applyNumberFormat="1" applyFont="1" applyFill="1" applyBorder="1" applyAlignment="1" applyProtection="1">
      <alignment horizontal="center" vertical="top" wrapText="1" readingOrder="1"/>
      <protection locked="0"/>
    </xf>
    <xf numFmtId="165" fontId="5" fillId="0" borderId="160" xfId="0" applyNumberFormat="1" applyFont="1" applyFill="1" applyBorder="1" applyAlignment="1" applyProtection="1">
      <alignment vertical="top" wrapText="1" readingOrder="1"/>
      <protection locked="0"/>
    </xf>
    <xf numFmtId="0" fontId="3" fillId="0" borderId="262" xfId="0" applyFont="1" applyFill="1" applyBorder="1" applyAlignment="1">
      <alignment horizontal="center" vertical="top" wrapText="1"/>
    </xf>
    <xf numFmtId="49" fontId="5" fillId="0" borderId="168" xfId="0" applyNumberFormat="1" applyFont="1" applyFill="1" applyBorder="1" applyAlignment="1" applyProtection="1">
      <alignment vertical="top" wrapText="1" readingOrder="1"/>
      <protection locked="0"/>
    </xf>
    <xf numFmtId="165" fontId="5" fillId="0" borderId="222" xfId="0" applyNumberFormat="1" applyFont="1" applyFill="1" applyBorder="1" applyAlignment="1" applyProtection="1">
      <alignment vertical="top" wrapText="1" readingOrder="1"/>
      <protection locked="0"/>
    </xf>
    <xf numFmtId="49" fontId="5" fillId="0" borderId="253" xfId="0" applyNumberFormat="1" applyFont="1" applyFill="1" applyBorder="1" applyAlignment="1" applyProtection="1">
      <alignment vertical="top" wrapText="1" readingOrder="1"/>
      <protection locked="0"/>
    </xf>
    <xf numFmtId="165" fontId="3" fillId="0" borderId="178" xfId="0" applyNumberFormat="1" applyFont="1" applyFill="1" applyBorder="1" applyAlignment="1" applyProtection="1">
      <alignment vertical="top" wrapText="1" readingOrder="1"/>
      <protection locked="0"/>
    </xf>
    <xf numFmtId="0" fontId="3" fillId="0" borderId="254" xfId="0" applyFont="1" applyFill="1" applyBorder="1" applyAlignment="1" applyProtection="1">
      <alignment horizontal="center" vertical="top" wrapText="1" readingOrder="1"/>
      <protection locked="0"/>
    </xf>
    <xf numFmtId="0" fontId="3" fillId="0" borderId="249" xfId="0" applyFont="1" applyFill="1" applyBorder="1" applyAlignment="1" applyProtection="1">
      <alignment horizontal="center" vertical="top" wrapText="1" readingOrder="1"/>
      <protection locked="0"/>
    </xf>
    <xf numFmtId="0" fontId="3" fillId="0" borderId="251" xfId="0" applyFont="1" applyFill="1" applyBorder="1" applyAlignment="1" applyProtection="1">
      <alignment horizontal="center" vertical="top" wrapText="1" readingOrder="1"/>
      <protection locked="0"/>
    </xf>
    <xf numFmtId="165" fontId="5" fillId="0" borderId="250" xfId="0" applyNumberFormat="1" applyFont="1" applyFill="1" applyBorder="1" applyAlignment="1" applyProtection="1">
      <alignment vertical="top" wrapText="1" readingOrder="1"/>
      <protection locked="0"/>
    </xf>
    <xf numFmtId="49" fontId="5" fillId="0" borderId="247" xfId="0" applyNumberFormat="1" applyFont="1" applyFill="1" applyBorder="1" applyAlignment="1" applyProtection="1">
      <alignment vertical="top" wrapText="1" readingOrder="1"/>
      <protection locked="0"/>
    </xf>
    <xf numFmtId="165" fontId="5" fillId="0" borderId="247" xfId="0" applyNumberFormat="1" applyFont="1" applyFill="1" applyBorder="1" applyAlignment="1" applyProtection="1">
      <alignment vertical="top" wrapText="1" readingOrder="1"/>
      <protection locked="0"/>
    </xf>
    <xf numFmtId="49" fontId="5" fillId="0" borderId="53" xfId="0" applyNumberFormat="1" applyFont="1" applyFill="1" applyBorder="1" applyAlignment="1" applyProtection="1">
      <alignment vertical="top" wrapText="1" readingOrder="1"/>
      <protection locked="0"/>
    </xf>
    <xf numFmtId="0" fontId="3" fillId="0" borderId="162" xfId="0" applyFont="1" applyFill="1" applyBorder="1" applyAlignment="1" applyProtection="1">
      <alignment vertical="top" wrapText="1" readingOrder="1"/>
      <protection locked="0"/>
    </xf>
    <xf numFmtId="0" fontId="5" fillId="0" borderId="162" xfId="0" applyFont="1" applyFill="1" applyBorder="1" applyAlignment="1" applyProtection="1">
      <alignment horizontal="center" vertical="top" wrapText="1" readingOrder="1"/>
      <protection locked="0"/>
    </xf>
    <xf numFmtId="0" fontId="3" fillId="0" borderId="162" xfId="0" applyFont="1" applyFill="1" applyBorder="1" applyAlignment="1" applyProtection="1">
      <alignment horizontal="center" vertical="top" wrapText="1" readingOrder="1"/>
      <protection locked="0"/>
    </xf>
    <xf numFmtId="49" fontId="5" fillId="0" borderId="162" xfId="0" applyNumberFormat="1" applyFont="1" applyFill="1" applyBorder="1" applyAlignment="1" applyProtection="1">
      <alignment vertical="top" wrapText="1" readingOrder="1"/>
      <protection locked="0"/>
    </xf>
    <xf numFmtId="165" fontId="3" fillId="0" borderId="162" xfId="0" applyNumberFormat="1" applyFont="1" applyFill="1" applyBorder="1" applyAlignment="1" applyProtection="1">
      <alignment vertical="top" wrapText="1" readingOrder="1"/>
      <protection locked="0"/>
    </xf>
    <xf numFmtId="49" fontId="5" fillId="0" borderId="19" xfId="0" applyNumberFormat="1" applyFont="1" applyFill="1" applyBorder="1" applyAlignment="1" applyProtection="1">
      <alignment horizontal="center" vertical="top" wrapText="1" readingOrder="1"/>
      <protection locked="0"/>
    </xf>
    <xf numFmtId="165" fontId="5" fillId="0" borderId="30" xfId="0" applyNumberFormat="1" applyFont="1" applyFill="1" applyBorder="1" applyAlignment="1" applyProtection="1">
      <alignment vertical="top" wrapText="1" readingOrder="1"/>
      <protection locked="0"/>
    </xf>
    <xf numFmtId="0" fontId="6" fillId="0" borderId="105" xfId="0" applyFont="1" applyFill="1" applyBorder="1" applyAlignment="1" applyProtection="1">
      <alignment horizontal="center" vertical="top" wrapText="1" shrinkToFit="1"/>
      <protection locked="0"/>
    </xf>
    <xf numFmtId="0" fontId="6" fillId="0" borderId="120" xfId="0" applyFont="1" applyFill="1" applyBorder="1" applyAlignment="1" applyProtection="1">
      <alignment horizontal="center" vertical="top" wrapText="1" shrinkToFit="1"/>
      <protection locked="0"/>
    </xf>
    <xf numFmtId="14" fontId="3" fillId="0" borderId="120" xfId="0" applyNumberFormat="1" applyFont="1" applyFill="1" applyBorder="1" applyAlignment="1" applyProtection="1">
      <alignment horizontal="center" vertical="top" wrapText="1" shrinkToFit="1"/>
      <protection locked="0"/>
    </xf>
    <xf numFmtId="0" fontId="6" fillId="0" borderId="133" xfId="0" applyFont="1" applyFill="1" applyBorder="1" applyAlignment="1" applyProtection="1">
      <alignment horizontal="center" vertical="top" wrapText="1" shrinkToFit="1"/>
      <protection locked="0"/>
    </xf>
    <xf numFmtId="14" fontId="3" fillId="0" borderId="174" xfId="0" applyNumberFormat="1" applyFont="1" applyFill="1" applyBorder="1" applyAlignment="1" applyProtection="1">
      <alignment vertical="top" wrapText="1" shrinkToFit="1"/>
      <protection locked="0"/>
    </xf>
    <xf numFmtId="0" fontId="6" fillId="0" borderId="100" xfId="0" applyFont="1" applyFill="1" applyBorder="1" applyAlignment="1" applyProtection="1">
      <alignment horizontal="center" vertical="top" wrapText="1" shrinkToFit="1"/>
      <protection locked="0"/>
    </xf>
    <xf numFmtId="0" fontId="5" fillId="0" borderId="137" xfId="0" applyFont="1" applyFill="1" applyBorder="1" applyAlignment="1" applyProtection="1">
      <alignment horizontal="center" vertical="top" wrapText="1" readingOrder="1"/>
      <protection locked="0"/>
    </xf>
    <xf numFmtId="0" fontId="11" fillId="0" borderId="137" xfId="0" applyFont="1" applyFill="1" applyBorder="1" applyAlignment="1" applyProtection="1">
      <alignment horizontal="center" vertical="top" wrapText="1" shrinkToFit="1"/>
      <protection locked="0"/>
    </xf>
    <xf numFmtId="0" fontId="5" fillId="0" borderId="137" xfId="0" applyFont="1" applyFill="1" applyBorder="1" applyAlignment="1" applyProtection="1">
      <alignment horizontal="center" vertical="top" wrapText="1" shrinkToFit="1"/>
      <protection locked="0"/>
    </xf>
    <xf numFmtId="14" fontId="5" fillId="0" borderId="137" xfId="0" applyNumberFormat="1" applyFont="1" applyFill="1" applyBorder="1" applyAlignment="1" applyProtection="1">
      <alignment horizontal="center" vertical="top" wrapText="1" shrinkToFit="1"/>
      <protection locked="0"/>
    </xf>
    <xf numFmtId="165" fontId="5" fillId="0" borderId="137" xfId="0" applyNumberFormat="1" applyFont="1" applyFill="1" applyBorder="1" applyAlignment="1" applyProtection="1">
      <alignment vertical="top" wrapText="1" readingOrder="1"/>
      <protection locked="0"/>
    </xf>
    <xf numFmtId="0" fontId="5" fillId="0" borderId="133" xfId="0" applyFont="1" applyFill="1" applyBorder="1" applyAlignment="1" applyProtection="1">
      <alignment vertical="top" wrapText="1" readingOrder="1"/>
      <protection locked="0"/>
    </xf>
    <xf numFmtId="14" fontId="6" fillId="0" borderId="133" xfId="0" applyNumberFormat="1" applyFont="1" applyFill="1" applyBorder="1" applyAlignment="1" applyProtection="1">
      <alignment horizontal="center" vertical="top" wrapText="1" shrinkToFit="1"/>
      <protection locked="0"/>
    </xf>
    <xf numFmtId="0" fontId="6" fillId="0" borderId="174" xfId="0" applyFont="1" applyFill="1" applyBorder="1" applyAlignment="1" applyProtection="1">
      <alignment wrapText="1" shrinkToFit="1"/>
      <protection locked="0"/>
    </xf>
    <xf numFmtId="14" fontId="6" fillId="0" borderId="2" xfId="0" applyNumberFormat="1" applyFont="1" applyFill="1" applyBorder="1" applyAlignment="1" applyProtection="1">
      <alignment horizontal="center" vertical="top" wrapText="1" shrinkToFit="1"/>
      <protection locked="0"/>
    </xf>
    <xf numFmtId="0" fontId="6" fillId="0" borderId="1" xfId="0" applyFont="1" applyFill="1" applyBorder="1" applyAlignment="1" applyProtection="1">
      <alignment horizontal="center" vertical="top" wrapText="1" shrinkToFit="1"/>
      <protection locked="0"/>
    </xf>
    <xf numFmtId="0" fontId="6" fillId="0" borderId="9" xfId="0" applyFont="1" applyFill="1" applyBorder="1" applyAlignment="1" applyProtection="1">
      <alignment horizontal="center" vertical="top" wrapText="1" shrinkToFit="1"/>
      <protection locked="0"/>
    </xf>
    <xf numFmtId="0" fontId="3" fillId="0" borderId="7" xfId="0" applyFont="1" applyFill="1" applyBorder="1" applyAlignment="1" applyProtection="1">
      <alignment vertical="top" wrapText="1" readingOrder="1"/>
      <protection locked="0"/>
    </xf>
    <xf numFmtId="0" fontId="11" fillId="0" borderId="11" xfId="0" applyFont="1" applyFill="1" applyBorder="1" applyAlignment="1" applyProtection="1">
      <alignment horizontal="center" vertical="top" wrapText="1" shrinkToFit="1"/>
      <protection locked="0"/>
    </xf>
    <xf numFmtId="0" fontId="5" fillId="0" borderId="19" xfId="0" applyFont="1" applyFill="1" applyBorder="1" applyAlignment="1" applyProtection="1">
      <alignment horizontal="center" vertical="top" wrapText="1" shrinkToFit="1"/>
      <protection locked="0"/>
    </xf>
    <xf numFmtId="14" fontId="5" fillId="0" borderId="5" xfId="0" applyNumberFormat="1" applyFont="1" applyFill="1" applyBorder="1" applyAlignment="1" applyProtection="1">
      <alignment horizontal="center" vertical="top" wrapText="1" shrinkToFit="1"/>
      <protection locked="0"/>
    </xf>
    <xf numFmtId="0" fontId="6" fillId="0" borderId="11" xfId="0" applyFont="1" applyFill="1" applyBorder="1" applyAlignment="1" applyProtection="1">
      <alignment horizontal="center" vertical="top" wrapText="1" shrinkToFit="1"/>
      <protection locked="0"/>
    </xf>
    <xf numFmtId="14" fontId="6" fillId="0" borderId="11" xfId="0" applyNumberFormat="1" applyFont="1" applyFill="1" applyBorder="1" applyAlignment="1" applyProtection="1">
      <alignment horizontal="center" vertical="top" wrapText="1" shrinkToFit="1"/>
      <protection locked="0"/>
    </xf>
    <xf numFmtId="0" fontId="3" fillId="0" borderId="11" xfId="0" applyFont="1" applyFill="1" applyBorder="1" applyAlignment="1" applyProtection="1">
      <alignment horizontal="center" vertical="top" wrapText="1" readingOrder="1"/>
      <protection locked="0"/>
    </xf>
    <xf numFmtId="0" fontId="3" fillId="0" borderId="11" xfId="0" applyFont="1" applyFill="1" applyBorder="1" applyAlignment="1" applyProtection="1">
      <alignment vertical="top" wrapText="1" readingOrder="1"/>
      <protection locked="0"/>
    </xf>
    <xf numFmtId="0" fontId="3" fillId="0" borderId="29" xfId="0" applyFont="1" applyFill="1" applyBorder="1" applyAlignment="1" applyProtection="1">
      <alignment horizontal="center" vertical="top" wrapText="1" readingOrder="1"/>
      <protection locked="0"/>
    </xf>
    <xf numFmtId="0" fontId="5" fillId="0" borderId="29" xfId="0" applyFont="1" applyFill="1" applyBorder="1" applyAlignment="1" applyProtection="1">
      <alignment horizontal="center" vertical="top" wrapText="1" readingOrder="1"/>
      <protection locked="0"/>
    </xf>
    <xf numFmtId="0" fontId="5" fillId="0" borderId="15" xfId="0" applyFont="1" applyFill="1" applyBorder="1" applyAlignment="1" applyProtection="1">
      <alignment horizontal="center" vertical="top" wrapText="1" readingOrder="1"/>
      <protection locked="0"/>
    </xf>
    <xf numFmtId="165" fontId="5" fillId="0" borderId="1" xfId="0" applyNumberFormat="1" applyFont="1" applyFill="1" applyBorder="1" applyAlignment="1" applyProtection="1">
      <alignment vertical="top" wrapText="1" readingOrder="1"/>
      <protection locked="0"/>
    </xf>
    <xf numFmtId="0" fontId="5" fillId="0" borderId="108" xfId="0" applyFont="1" applyFill="1" applyBorder="1" applyAlignment="1" applyProtection="1">
      <alignment vertical="top" wrapText="1" readingOrder="1"/>
      <protection locked="0"/>
    </xf>
    <xf numFmtId="0" fontId="5" fillId="0" borderId="108" xfId="0" applyFont="1" applyFill="1" applyBorder="1" applyAlignment="1" applyProtection="1">
      <alignment horizontal="center" vertical="top" wrapText="1" readingOrder="1"/>
      <protection locked="0"/>
    </xf>
    <xf numFmtId="0" fontId="4" fillId="0" borderId="109" xfId="0" applyFont="1" applyFill="1" applyBorder="1" applyAlignment="1" applyProtection="1">
      <alignment horizontal="center" vertical="top" wrapText="1" shrinkToFit="1"/>
      <protection locked="0"/>
    </xf>
    <xf numFmtId="14" fontId="4" fillId="0" borderId="109" xfId="0" applyNumberFormat="1" applyFont="1" applyFill="1" applyBorder="1" applyAlignment="1" applyProtection="1">
      <alignment horizontal="center" vertical="top" wrapText="1" shrinkToFit="1"/>
      <protection locked="0"/>
    </xf>
    <xf numFmtId="0" fontId="5" fillId="0" borderId="109" xfId="0" applyFont="1" applyFill="1" applyBorder="1" applyAlignment="1" applyProtection="1">
      <alignment horizontal="center" vertical="top" wrapText="1" readingOrder="1"/>
      <protection locked="0"/>
    </xf>
    <xf numFmtId="0" fontId="5" fillId="0" borderId="110" xfId="0" applyFont="1" applyFill="1" applyBorder="1" applyAlignment="1" applyProtection="1">
      <alignment horizontal="center" vertical="top" wrapText="1" readingOrder="1"/>
      <protection locked="0"/>
    </xf>
    <xf numFmtId="165" fontId="5" fillId="0" borderId="109" xfId="0" applyNumberFormat="1" applyFont="1" applyFill="1" applyBorder="1" applyAlignment="1" applyProtection="1">
      <alignment vertical="top" wrapText="1" readingOrder="1"/>
      <protection locked="0"/>
    </xf>
    <xf numFmtId="0" fontId="12" fillId="0" borderId="108" xfId="0" applyFont="1" applyFill="1" applyBorder="1" applyAlignment="1" applyProtection="1">
      <alignment vertical="top" wrapText="1" readingOrder="1"/>
      <protection locked="0"/>
    </xf>
    <xf numFmtId="0" fontId="3" fillId="0" borderId="120" xfId="0" applyFont="1" applyFill="1" applyBorder="1" applyAlignment="1">
      <alignment horizontal="center" vertical="top" wrapText="1"/>
    </xf>
    <xf numFmtId="0" fontId="3" fillId="0" borderId="53" xfId="0" applyFont="1" applyFill="1" applyBorder="1" applyAlignment="1">
      <alignment horizontal="center" vertical="top" wrapText="1"/>
    </xf>
    <xf numFmtId="0" fontId="12" fillId="0" borderId="133" xfId="0" applyFont="1" applyFill="1" applyBorder="1" applyAlignment="1" applyProtection="1">
      <alignment vertical="top" wrapText="1" readingOrder="1"/>
      <protection locked="0"/>
    </xf>
    <xf numFmtId="0" fontId="6" fillId="0" borderId="133" xfId="0" applyFont="1" applyFill="1" applyBorder="1" applyAlignment="1" applyProtection="1">
      <alignment vertical="top" wrapText="1" shrinkToFit="1"/>
      <protection locked="0"/>
    </xf>
    <xf numFmtId="49" fontId="3" fillId="0" borderId="174" xfId="0" applyNumberFormat="1" applyFont="1" applyFill="1" applyBorder="1" applyAlignment="1" applyProtection="1">
      <alignment vertical="top" wrapText="1" readingOrder="1"/>
      <protection locked="0"/>
    </xf>
    <xf numFmtId="0" fontId="5" fillId="0" borderId="12" xfId="0" applyFont="1" applyFill="1" applyBorder="1" applyAlignment="1" applyProtection="1">
      <alignment horizontal="center" vertical="top" wrapText="1" readingOrder="1"/>
      <protection locked="0"/>
    </xf>
    <xf numFmtId="0" fontId="4" fillId="0" borderId="13" xfId="0" applyFont="1" applyFill="1" applyBorder="1" applyAlignment="1" applyProtection="1">
      <alignment horizontal="center" vertical="top" wrapText="1" shrinkToFit="1"/>
      <protection locked="0"/>
    </xf>
    <xf numFmtId="0" fontId="5" fillId="0" borderId="10" xfId="0" applyFont="1" applyFill="1" applyBorder="1" applyAlignment="1" applyProtection="1">
      <alignment horizontal="center" vertical="top" wrapText="1" readingOrder="1"/>
      <protection locked="0"/>
    </xf>
    <xf numFmtId="0" fontId="4" fillId="0" borderId="1" xfId="0" applyFont="1" applyFill="1" applyBorder="1" applyAlignment="1" applyProtection="1">
      <alignment horizontal="center" vertical="top" wrapText="1" shrinkToFit="1"/>
      <protection locked="0"/>
    </xf>
    <xf numFmtId="0" fontId="4" fillId="0" borderId="1" xfId="0" applyFont="1" applyFill="1" applyBorder="1" applyAlignment="1" applyProtection="1">
      <alignment vertical="top" wrapText="1" shrinkToFit="1"/>
      <protection locked="0"/>
    </xf>
    <xf numFmtId="0" fontId="5" fillId="0" borderId="1" xfId="0" applyFont="1" applyFill="1" applyBorder="1" applyAlignment="1" applyProtection="1">
      <alignment horizontal="center" vertical="top" wrapText="1" readingOrder="1"/>
      <protection locked="0"/>
    </xf>
    <xf numFmtId="0" fontId="4" fillId="0" borderId="52" xfId="1" applyFont="1" applyFill="1" applyBorder="1" applyAlignment="1">
      <alignment horizontal="center" vertical="top" wrapText="1"/>
    </xf>
    <xf numFmtId="0" fontId="4" fillId="0" borderId="52" xfId="0" applyFont="1" applyFill="1" applyBorder="1" applyAlignment="1" applyProtection="1">
      <alignment vertical="top" wrapText="1" shrinkToFit="1"/>
      <protection locked="0"/>
    </xf>
    <xf numFmtId="0" fontId="5" fillId="0" borderId="9" xfId="0" applyFont="1" applyFill="1" applyBorder="1" applyAlignment="1" applyProtection="1">
      <alignment horizontal="center" vertical="top" wrapText="1" readingOrder="1"/>
      <protection locked="0"/>
    </xf>
    <xf numFmtId="0" fontId="5" fillId="0" borderId="276" xfId="0" applyFont="1" applyFill="1" applyBorder="1" applyAlignment="1" applyProtection="1">
      <alignment vertical="top" wrapText="1" readingOrder="1"/>
      <protection locked="0"/>
    </xf>
    <xf numFmtId="0" fontId="5" fillId="0" borderId="276" xfId="0" applyFont="1" applyFill="1" applyBorder="1" applyAlignment="1" applyProtection="1">
      <alignment horizontal="center" vertical="top" wrapText="1" readingOrder="1"/>
      <protection locked="0"/>
    </xf>
    <xf numFmtId="0" fontId="6" fillId="0" borderId="5" xfId="0" applyFont="1" applyFill="1" applyBorder="1" applyAlignment="1" applyProtection="1">
      <alignment horizontal="center" vertical="top" wrapText="1" shrinkToFit="1"/>
      <protection locked="0"/>
    </xf>
    <xf numFmtId="14" fontId="6" fillId="0" borderId="5" xfId="0" applyNumberFormat="1" applyFont="1" applyFill="1" applyBorder="1" applyAlignment="1" applyProtection="1">
      <alignment horizontal="center" vertical="top" wrapText="1" shrinkToFit="1"/>
      <protection locked="0"/>
    </xf>
    <xf numFmtId="49" fontId="5" fillId="0" borderId="276" xfId="0" applyNumberFormat="1" applyFont="1" applyFill="1" applyBorder="1" applyAlignment="1" applyProtection="1">
      <alignment horizontal="center" vertical="top" wrapText="1" readingOrder="1"/>
      <protection locked="0"/>
    </xf>
    <xf numFmtId="165" fontId="5" fillId="0" borderId="276" xfId="0" applyNumberFormat="1" applyFont="1" applyFill="1" applyBorder="1" applyAlignment="1" applyProtection="1">
      <alignment vertical="top" wrapText="1" readingOrder="1"/>
      <protection locked="0"/>
    </xf>
    <xf numFmtId="0" fontId="12" fillId="0" borderId="276" xfId="0" applyFont="1" applyFill="1" applyBorder="1" applyAlignment="1" applyProtection="1">
      <alignment vertical="top" wrapText="1" readingOrder="1"/>
      <protection locked="0"/>
    </xf>
    <xf numFmtId="0" fontId="6" fillId="0" borderId="288" xfId="0" applyFont="1" applyFill="1" applyBorder="1" applyAlignment="1" applyProtection="1">
      <alignment horizontal="center" vertical="top" wrapText="1" shrinkToFit="1"/>
      <protection locked="0"/>
    </xf>
    <xf numFmtId="14" fontId="3" fillId="0" borderId="281" xfId="0" applyNumberFormat="1" applyFont="1" applyFill="1" applyBorder="1" applyAlignment="1" applyProtection="1">
      <alignment horizontal="center" vertical="top" wrapText="1" shrinkToFit="1"/>
      <protection locked="0"/>
    </xf>
    <xf numFmtId="49" fontId="3" fillId="0" borderId="276" xfId="0" applyNumberFormat="1" applyFont="1" applyFill="1" applyBorder="1" applyAlignment="1" applyProtection="1">
      <alignment horizontal="center" vertical="top" wrapText="1" readingOrder="1"/>
      <protection locked="0"/>
    </xf>
    <xf numFmtId="165" fontId="3" fillId="0" borderId="276" xfId="0" applyNumberFormat="1" applyFont="1" applyFill="1" applyBorder="1" applyAlignment="1" applyProtection="1">
      <alignment vertical="top" wrapText="1" readingOrder="1"/>
      <protection locked="0"/>
    </xf>
    <xf numFmtId="0" fontId="12" fillId="0" borderId="287" xfId="0" applyFont="1" applyFill="1" applyBorder="1" applyAlignment="1" applyProtection="1">
      <alignment vertical="top" wrapText="1" readingOrder="1"/>
      <protection locked="0"/>
    </xf>
    <xf numFmtId="49" fontId="5" fillId="0" borderId="287" xfId="0" applyNumberFormat="1" applyFont="1" applyFill="1" applyBorder="1" applyAlignment="1" applyProtection="1">
      <alignment horizontal="center" vertical="top" wrapText="1" readingOrder="1"/>
      <protection locked="0"/>
    </xf>
    <xf numFmtId="165" fontId="3" fillId="0" borderId="287" xfId="0" applyNumberFormat="1" applyFont="1" applyFill="1" applyBorder="1" applyAlignment="1" applyProtection="1">
      <alignment vertical="top" wrapText="1" readingOrder="1"/>
      <protection locked="0"/>
    </xf>
    <xf numFmtId="49" fontId="16" fillId="0" borderId="287" xfId="0" applyNumberFormat="1" applyFont="1" applyFill="1" applyBorder="1" applyAlignment="1" applyProtection="1">
      <alignment horizontal="center" vertical="top" wrapText="1" readingOrder="1"/>
      <protection locked="0"/>
    </xf>
    <xf numFmtId="165" fontId="12" fillId="0" borderId="287" xfId="0" applyNumberFormat="1" applyFont="1" applyFill="1" applyBorder="1" applyAlignment="1" applyProtection="1">
      <alignment vertical="top" wrapText="1" readingOrder="1"/>
      <protection locked="0"/>
    </xf>
    <xf numFmtId="0" fontId="16" fillId="0" borderId="0" xfId="0" applyFont="1" applyFill="1"/>
    <xf numFmtId="0" fontId="21" fillId="0" borderId="0" xfId="0" applyFont="1" applyFill="1"/>
    <xf numFmtId="49" fontId="5" fillId="0" borderId="242" xfId="0" applyNumberFormat="1" applyFont="1" applyFill="1" applyBorder="1" applyAlignment="1" applyProtection="1">
      <alignment horizontal="center" vertical="top" wrapText="1" readingOrder="1"/>
      <protection locked="0"/>
    </xf>
    <xf numFmtId="0" fontId="6" fillId="0" borderId="244" xfId="0" applyFont="1" applyFill="1" applyBorder="1" applyAlignment="1" applyProtection="1">
      <alignment horizontal="center" vertical="top" wrapText="1" shrinkToFit="1"/>
      <protection locked="0"/>
    </xf>
    <xf numFmtId="0" fontId="3" fillId="0" borderId="4" xfId="0" applyFont="1" applyFill="1" applyBorder="1" applyAlignment="1" applyProtection="1">
      <alignment horizontal="center" vertical="top" wrapText="1" shrinkToFit="1"/>
      <protection locked="0"/>
    </xf>
    <xf numFmtId="14" fontId="3" fillId="0" borderId="4" xfId="0" applyNumberFormat="1" applyFont="1" applyFill="1" applyBorder="1" applyAlignment="1" applyProtection="1">
      <alignment horizontal="center" vertical="top" wrapText="1" shrinkToFit="1"/>
      <protection locked="0"/>
    </xf>
    <xf numFmtId="14" fontId="12" fillId="0" borderId="95" xfId="0" applyNumberFormat="1" applyFont="1" applyFill="1" applyBorder="1" applyAlignment="1" applyProtection="1">
      <alignment horizontal="left" vertical="top" wrapText="1" readingOrder="1"/>
      <protection locked="0"/>
    </xf>
    <xf numFmtId="0" fontId="6" fillId="0" borderId="95" xfId="0" applyFont="1" applyFill="1" applyBorder="1" applyAlignment="1" applyProtection="1">
      <alignment horizontal="center" vertical="top" wrapText="1" shrinkToFit="1"/>
      <protection locked="0"/>
    </xf>
    <xf numFmtId="165" fontId="5" fillId="0" borderId="95" xfId="0" applyNumberFormat="1" applyFont="1" applyFill="1" applyBorder="1" applyAlignment="1" applyProtection="1">
      <alignment vertical="top" wrapText="1" readingOrder="1"/>
      <protection locked="0"/>
    </xf>
    <xf numFmtId="14" fontId="12" fillId="0" borderId="52" xfId="0" applyNumberFormat="1" applyFont="1" applyFill="1" applyBorder="1" applyAlignment="1" applyProtection="1">
      <alignment horizontal="left" vertical="top" wrapText="1" readingOrder="1"/>
      <protection locked="0"/>
    </xf>
    <xf numFmtId="14" fontId="3" fillId="0" borderId="113" xfId="0" applyNumberFormat="1" applyFont="1" applyFill="1" applyBorder="1" applyAlignment="1" applyProtection="1">
      <alignment horizontal="left" vertical="top" wrapText="1" readingOrder="1"/>
      <protection locked="0"/>
    </xf>
    <xf numFmtId="49" fontId="5" fillId="0" borderId="113" xfId="0" applyNumberFormat="1" applyFont="1" applyFill="1" applyBorder="1" applyAlignment="1" applyProtection="1">
      <alignment horizontal="center" vertical="top" wrapText="1" readingOrder="1"/>
      <protection locked="0"/>
    </xf>
    <xf numFmtId="0" fontId="5" fillId="0" borderId="86" xfId="0" applyFont="1" applyFill="1" applyBorder="1" applyAlignment="1" applyProtection="1">
      <alignment vertical="top" wrapText="1" readingOrder="1"/>
      <protection locked="0"/>
    </xf>
    <xf numFmtId="0" fontId="6" fillId="0" borderId="86" xfId="0" applyFont="1" applyFill="1" applyBorder="1" applyAlignment="1" applyProtection="1">
      <alignment vertical="top" wrapText="1" shrinkToFit="1"/>
      <protection locked="0"/>
    </xf>
    <xf numFmtId="14" fontId="6" fillId="0" borderId="86" xfId="0" applyNumberFormat="1" applyFont="1" applyFill="1" applyBorder="1" applyAlignment="1" applyProtection="1">
      <alignment vertical="top" wrapText="1" shrinkToFit="1"/>
      <protection locked="0"/>
    </xf>
    <xf numFmtId="49" fontId="5" fillId="0" borderId="86" xfId="0" applyNumberFormat="1" applyFont="1" applyFill="1" applyBorder="1" applyAlignment="1" applyProtection="1">
      <alignment horizontal="center" vertical="top" wrapText="1" readingOrder="1"/>
      <protection locked="0"/>
    </xf>
    <xf numFmtId="165" fontId="5" fillId="0" borderId="86" xfId="0" applyNumberFormat="1" applyFont="1" applyFill="1" applyBorder="1" applyAlignment="1" applyProtection="1">
      <alignment vertical="top" wrapText="1" readingOrder="1"/>
      <protection locked="0"/>
    </xf>
    <xf numFmtId="0" fontId="3" fillId="0" borderId="272" xfId="0" applyFont="1" applyFill="1" applyBorder="1" applyAlignment="1" applyProtection="1">
      <alignment vertical="top" wrapText="1" readingOrder="1"/>
      <protection locked="0"/>
    </xf>
    <xf numFmtId="49" fontId="3" fillId="0" borderId="122" xfId="0" applyNumberFormat="1" applyFont="1" applyFill="1" applyBorder="1" applyAlignment="1" applyProtection="1">
      <alignment horizontal="center" vertical="top" wrapText="1" readingOrder="1"/>
      <protection locked="0"/>
    </xf>
    <xf numFmtId="165" fontId="3" fillId="0" borderId="122" xfId="0" applyNumberFormat="1" applyFont="1" applyFill="1" applyBorder="1" applyAlignment="1" applyProtection="1">
      <alignment vertical="top" wrapText="1" readingOrder="1"/>
      <protection locked="0"/>
    </xf>
    <xf numFmtId="0" fontId="3" fillId="0" borderId="273" xfId="0" applyFont="1" applyFill="1" applyBorder="1" applyAlignment="1" applyProtection="1">
      <alignment vertical="top" wrapText="1" readingOrder="1"/>
      <protection locked="0"/>
    </xf>
    <xf numFmtId="14" fontId="6" fillId="0" borderId="253" xfId="0" applyNumberFormat="1" applyFont="1" applyFill="1" applyBorder="1" applyAlignment="1" applyProtection="1">
      <alignment vertical="top" wrapText="1" shrinkToFit="1"/>
      <protection locked="0"/>
    </xf>
    <xf numFmtId="0" fontId="12" fillId="0" borderId="52" xfId="0" applyFont="1" applyFill="1" applyBorder="1" applyAlignment="1" applyProtection="1">
      <alignment vertical="top" wrapText="1" readingOrder="1"/>
      <protection locked="0"/>
    </xf>
    <xf numFmtId="0" fontId="3" fillId="0" borderId="45" xfId="0" applyFont="1" applyFill="1" applyBorder="1" applyAlignment="1" applyProtection="1">
      <alignment vertical="top" wrapText="1" readingOrder="1"/>
      <protection locked="0"/>
    </xf>
    <xf numFmtId="0" fontId="3" fillId="0" borderId="172" xfId="0" applyFont="1" applyFill="1" applyBorder="1" applyAlignment="1" applyProtection="1">
      <alignment vertical="top" wrapText="1" readingOrder="1"/>
      <protection locked="0"/>
    </xf>
    <xf numFmtId="14" fontId="6" fillId="0" borderId="242" xfId="0" applyNumberFormat="1" applyFont="1" applyFill="1" applyBorder="1" applyAlignment="1" applyProtection="1">
      <alignment vertical="top" wrapText="1" shrinkToFit="1"/>
      <protection locked="0"/>
    </xf>
    <xf numFmtId="49" fontId="3" fillId="0" borderId="45" xfId="0" applyNumberFormat="1" applyFont="1" applyFill="1" applyBorder="1" applyAlignment="1" applyProtection="1">
      <alignment horizontal="center" vertical="top" wrapText="1" readingOrder="1"/>
      <protection locked="0"/>
    </xf>
    <xf numFmtId="165" fontId="3" fillId="0" borderId="45" xfId="0" applyNumberFormat="1" applyFont="1" applyFill="1" applyBorder="1" applyAlignment="1" applyProtection="1">
      <alignment vertical="top" wrapText="1" readingOrder="1"/>
      <protection locked="0"/>
    </xf>
    <xf numFmtId="0" fontId="6" fillId="0" borderId="80" xfId="0" applyFont="1" applyFill="1" applyBorder="1" applyAlignment="1" applyProtection="1">
      <alignment horizontal="center" vertical="top" wrapText="1" shrinkToFit="1"/>
      <protection locked="0"/>
    </xf>
    <xf numFmtId="14" fontId="6" fillId="0" borderId="80" xfId="0" applyNumberFormat="1" applyFont="1" applyFill="1" applyBorder="1" applyAlignment="1" applyProtection="1">
      <alignment horizontal="center" vertical="top" wrapText="1" shrinkToFit="1"/>
      <protection locked="0"/>
    </xf>
    <xf numFmtId="49" fontId="5" fillId="0" borderId="80" xfId="0" applyNumberFormat="1" applyFont="1" applyFill="1" applyBorder="1" applyAlignment="1" applyProtection="1">
      <alignment horizontal="center" vertical="top" wrapText="1" readingOrder="1"/>
      <protection locked="0"/>
    </xf>
    <xf numFmtId="0" fontId="12" fillId="0" borderId="125" xfId="0" applyFont="1" applyFill="1" applyBorder="1" applyAlignment="1" applyProtection="1">
      <alignment vertical="top" wrapText="1" readingOrder="1"/>
      <protection locked="0"/>
    </xf>
    <xf numFmtId="0" fontId="5" fillId="0" borderId="125" xfId="0" applyFont="1" applyFill="1" applyBorder="1" applyAlignment="1" applyProtection="1">
      <alignment horizontal="center" vertical="top" wrapText="1" readingOrder="1"/>
      <protection locked="0"/>
    </xf>
    <xf numFmtId="0" fontId="6" fillId="0" borderId="125" xfId="0" applyFont="1" applyFill="1" applyBorder="1" applyAlignment="1" applyProtection="1">
      <alignment horizontal="center" vertical="top" wrapText="1" shrinkToFit="1"/>
      <protection locked="0"/>
    </xf>
    <xf numFmtId="14" fontId="6" fillId="0" borderId="125" xfId="0" applyNumberFormat="1" applyFont="1" applyFill="1" applyBorder="1" applyAlignment="1" applyProtection="1">
      <alignment horizontal="center" vertical="top" wrapText="1" shrinkToFit="1"/>
      <protection locked="0"/>
    </xf>
    <xf numFmtId="49" fontId="5" fillId="0" borderId="125" xfId="0" applyNumberFormat="1" applyFont="1" applyFill="1" applyBorder="1" applyAlignment="1" applyProtection="1">
      <alignment horizontal="center" vertical="top" wrapText="1" readingOrder="1"/>
      <protection locked="0"/>
    </xf>
    <xf numFmtId="165" fontId="5" fillId="0" borderId="125" xfId="0" applyNumberFormat="1" applyFont="1" applyFill="1" applyBorder="1" applyAlignment="1" applyProtection="1">
      <alignment vertical="top" wrapText="1" readingOrder="1"/>
      <protection locked="0"/>
    </xf>
    <xf numFmtId="49" fontId="3" fillId="0" borderId="53" xfId="0" applyNumberFormat="1" applyFont="1" applyFill="1" applyBorder="1" applyAlignment="1">
      <alignment horizontal="center" vertical="top" wrapText="1"/>
    </xf>
    <xf numFmtId="0" fontId="6" fillId="0" borderId="111" xfId="0" applyFont="1" applyFill="1" applyBorder="1" applyAlignment="1" applyProtection="1">
      <alignment horizontal="center" vertical="top" wrapText="1" shrinkToFit="1"/>
      <protection locked="0"/>
    </xf>
    <xf numFmtId="14" fontId="6" fillId="0" borderId="111" xfId="0" applyNumberFormat="1" applyFont="1" applyFill="1" applyBorder="1" applyAlignment="1" applyProtection="1">
      <alignment horizontal="center" vertical="top" wrapText="1" shrinkToFit="1"/>
      <protection locked="0"/>
    </xf>
    <xf numFmtId="0" fontId="4" fillId="0" borderId="111" xfId="0" applyFont="1" applyFill="1" applyBorder="1" applyAlignment="1" applyProtection="1">
      <alignment horizontal="center" vertical="top" wrapText="1" shrinkToFit="1"/>
      <protection locked="0"/>
    </xf>
    <xf numFmtId="14" fontId="4" fillId="0" borderId="111" xfId="0" applyNumberFormat="1" applyFont="1" applyFill="1" applyBorder="1" applyAlignment="1" applyProtection="1">
      <alignment horizontal="center" vertical="top" wrapText="1" shrinkToFit="1"/>
      <protection locked="0"/>
    </xf>
    <xf numFmtId="0" fontId="5" fillId="0" borderId="125" xfId="0" applyFont="1" applyFill="1" applyBorder="1" applyAlignment="1" applyProtection="1">
      <alignment vertical="top" wrapText="1" readingOrder="1"/>
      <protection locked="0"/>
    </xf>
    <xf numFmtId="165" fontId="3" fillId="0" borderId="125" xfId="0" applyNumberFormat="1" applyFont="1" applyFill="1" applyBorder="1" applyAlignment="1" applyProtection="1">
      <alignment vertical="top" wrapText="1" readingOrder="1"/>
      <protection locked="0"/>
    </xf>
    <xf numFmtId="0" fontId="5" fillId="0" borderId="53" xfId="0" applyFont="1" applyFill="1" applyBorder="1" applyAlignment="1" applyProtection="1">
      <alignment horizontal="center" wrapText="1" readingOrder="1"/>
      <protection locked="0"/>
    </xf>
    <xf numFmtId="0" fontId="5" fillId="0" borderId="53" xfId="0" applyFont="1" applyFill="1" applyBorder="1" applyAlignment="1" applyProtection="1">
      <alignment wrapText="1" readingOrder="1"/>
      <protection locked="0"/>
    </xf>
    <xf numFmtId="0" fontId="4" fillId="0" borderId="53" xfId="0" applyFont="1" applyFill="1" applyBorder="1" applyAlignment="1" applyProtection="1">
      <alignment horizontal="center" vertical="top" wrapText="1" shrinkToFit="1"/>
      <protection locked="0"/>
    </xf>
    <xf numFmtId="14" fontId="4" fillId="0" borderId="53" xfId="0" applyNumberFormat="1" applyFont="1" applyFill="1" applyBorder="1" applyAlignment="1" applyProtection="1">
      <alignment horizontal="center" vertical="top" wrapText="1" shrinkToFit="1"/>
      <protection locked="0"/>
    </xf>
    <xf numFmtId="165" fontId="3" fillId="0" borderId="53" xfId="0" applyNumberFormat="1" applyFont="1" applyFill="1" applyBorder="1" applyAlignment="1" applyProtection="1">
      <alignment wrapText="1" readingOrder="1"/>
      <protection locked="0"/>
    </xf>
    <xf numFmtId="165" fontId="3" fillId="0" borderId="11" xfId="0" applyNumberFormat="1" applyFont="1" applyFill="1" applyBorder="1" applyAlignment="1" applyProtection="1">
      <alignment vertical="top" wrapText="1" readingOrder="1"/>
      <protection locked="0"/>
    </xf>
    <xf numFmtId="0" fontId="3" fillId="0" borderId="2" xfId="0" applyFont="1" applyFill="1" applyBorder="1" applyAlignment="1" applyProtection="1">
      <alignment horizontal="center" wrapText="1"/>
      <protection locked="0"/>
    </xf>
    <xf numFmtId="0" fontId="3" fillId="0" borderId="2" xfId="0" applyFont="1" applyFill="1" applyBorder="1" applyAlignment="1" applyProtection="1">
      <alignment vertical="top" wrapText="1"/>
      <protection locked="0"/>
    </xf>
    <xf numFmtId="165" fontId="3" fillId="0" borderId="2" xfId="0" applyNumberFormat="1" applyFont="1" applyFill="1" applyBorder="1" applyAlignment="1" applyProtection="1">
      <alignment vertical="top" wrapText="1" readingOrder="1"/>
      <protection locked="0"/>
    </xf>
    <xf numFmtId="0" fontId="6" fillId="0" borderId="276" xfId="0" applyFont="1" applyFill="1" applyBorder="1" applyAlignment="1" applyProtection="1">
      <alignment horizontal="center" vertical="center" wrapText="1" shrinkToFit="1"/>
      <protection locked="0"/>
    </xf>
    <xf numFmtId="0" fontId="5" fillId="0" borderId="278" xfId="0" applyFont="1" applyFill="1" applyBorder="1" applyAlignment="1" applyProtection="1">
      <alignment vertical="top" wrapText="1" readingOrder="1"/>
      <protection locked="0"/>
    </xf>
    <xf numFmtId="0" fontId="6" fillId="0" borderId="11" xfId="0" applyFont="1" applyFill="1" applyBorder="1" applyAlignment="1" applyProtection="1">
      <alignment horizontal="center" vertical="center" wrapText="1" shrinkToFit="1"/>
      <protection locked="0"/>
    </xf>
    <xf numFmtId="0" fontId="5" fillId="0" borderId="43" xfId="0" applyFont="1" applyFill="1" applyBorder="1" applyAlignment="1" applyProtection="1">
      <alignment horizontal="center" vertical="top" wrapText="1" readingOrder="1"/>
      <protection locked="0"/>
    </xf>
    <xf numFmtId="0" fontId="6" fillId="0" borderId="43" xfId="0" applyFont="1" applyFill="1" applyBorder="1" applyAlignment="1" applyProtection="1">
      <alignment horizontal="center" vertical="top" wrapText="1" shrinkToFit="1"/>
      <protection locked="0"/>
    </xf>
    <xf numFmtId="14" fontId="6" fillId="0" borderId="242" xfId="0" applyNumberFormat="1" applyFont="1" applyFill="1" applyBorder="1" applyAlignment="1" applyProtection="1">
      <alignment horizontal="center" vertical="top" wrapText="1" shrinkToFit="1"/>
      <protection locked="0"/>
    </xf>
    <xf numFmtId="0" fontId="5" fillId="0" borderId="252" xfId="0" applyFont="1" applyFill="1" applyBorder="1" applyAlignment="1" applyProtection="1">
      <alignment vertical="top" wrapText="1" readingOrder="1"/>
      <protection locked="0"/>
    </xf>
    <xf numFmtId="0" fontId="6" fillId="0" borderId="43" xfId="0" applyFont="1" applyFill="1" applyBorder="1" applyAlignment="1" applyProtection="1">
      <alignment horizontal="center" vertical="center" wrapText="1" shrinkToFit="1"/>
      <protection locked="0"/>
    </xf>
    <xf numFmtId="14" fontId="6" fillId="0" borderId="43" xfId="0" applyNumberFormat="1" applyFont="1" applyFill="1" applyBorder="1" applyAlignment="1" applyProtection="1">
      <alignment horizontal="center" vertical="center" wrapText="1" shrinkToFit="1"/>
      <protection locked="0"/>
    </xf>
    <xf numFmtId="165" fontId="5" fillId="0" borderId="43" xfId="0" applyNumberFormat="1" applyFont="1" applyFill="1" applyBorder="1" applyAlignment="1" applyProtection="1">
      <alignment vertical="top" wrapText="1" readingOrder="1"/>
      <protection locked="0"/>
    </xf>
    <xf numFmtId="0" fontId="5" fillId="0" borderId="265" xfId="0" applyFont="1" applyFill="1" applyBorder="1" applyAlignment="1" applyProtection="1">
      <alignment horizontal="center" vertical="top" wrapText="1" readingOrder="1"/>
      <protection locked="0"/>
    </xf>
    <xf numFmtId="0" fontId="3" fillId="0" borderId="3" xfId="0" applyFont="1" applyFill="1" applyBorder="1" applyAlignment="1" applyProtection="1">
      <alignment vertical="top" wrapText="1" readingOrder="1"/>
      <protection locked="0"/>
    </xf>
    <xf numFmtId="0" fontId="12" fillId="0" borderId="2" xfId="0" applyFont="1" applyFill="1" applyBorder="1" applyAlignment="1" applyProtection="1">
      <alignment vertical="top" wrapText="1" readingOrder="1"/>
      <protection locked="0"/>
    </xf>
    <xf numFmtId="165" fontId="3" fillId="0" borderId="51" xfId="0" applyNumberFormat="1" applyFont="1" applyFill="1" applyBorder="1" applyAlignment="1" applyProtection="1">
      <alignment vertical="top" wrapText="1" readingOrder="1"/>
      <protection locked="0"/>
    </xf>
    <xf numFmtId="0" fontId="4" fillId="0" borderId="2" xfId="0" applyFont="1" applyFill="1" applyBorder="1" applyAlignment="1">
      <alignment horizontal="center" vertical="top" wrapText="1"/>
    </xf>
    <xf numFmtId="0" fontId="6" fillId="0" borderId="108" xfId="0" applyFont="1" applyFill="1" applyBorder="1" applyAlignment="1" applyProtection="1">
      <alignment vertical="top" wrapText="1" shrinkToFit="1"/>
      <protection locked="0"/>
    </xf>
    <xf numFmtId="0" fontId="6" fillId="0" borderId="108" xfId="0" applyFont="1" applyFill="1" applyBorder="1" applyAlignment="1" applyProtection="1">
      <alignment horizontal="center" vertical="top" wrapText="1" shrinkToFit="1"/>
      <protection locked="0"/>
    </xf>
    <xf numFmtId="14" fontId="6" fillId="0" borderId="108" xfId="0" applyNumberFormat="1" applyFont="1" applyFill="1" applyBorder="1" applyAlignment="1" applyProtection="1">
      <alignment horizontal="center" vertical="top" wrapText="1" shrinkToFit="1"/>
      <protection locked="0"/>
    </xf>
    <xf numFmtId="0" fontId="3" fillId="0" borderId="165" xfId="1" applyFont="1" applyFill="1" applyBorder="1" applyAlignment="1">
      <alignment vertical="top" wrapText="1"/>
    </xf>
    <xf numFmtId="49" fontId="3" fillId="0" borderId="125" xfId="0" applyNumberFormat="1" applyFont="1" applyFill="1" applyBorder="1" applyAlignment="1" applyProtection="1">
      <alignment horizontal="center" vertical="top" wrapText="1" readingOrder="1"/>
      <protection locked="0"/>
    </xf>
    <xf numFmtId="0" fontId="3" fillId="0" borderId="53" xfId="0" applyFont="1" applyFill="1" applyBorder="1" applyAlignment="1" applyProtection="1">
      <alignment vertical="top" wrapText="1"/>
      <protection locked="0"/>
    </xf>
    <xf numFmtId="0" fontId="3" fillId="0" borderId="247" xfId="0" applyFont="1" applyFill="1" applyBorder="1" applyAlignment="1" applyProtection="1">
      <alignment vertical="top" wrapText="1"/>
      <protection locked="0"/>
    </xf>
    <xf numFmtId="0" fontId="6" fillId="0" borderId="36" xfId="0" applyFont="1" applyFill="1" applyBorder="1" applyAlignment="1" applyProtection="1">
      <alignment horizontal="center" vertical="top" wrapText="1" shrinkToFit="1"/>
      <protection locked="0"/>
    </xf>
    <xf numFmtId="0" fontId="6" fillId="0" borderId="33" xfId="0" applyFont="1" applyFill="1" applyBorder="1" applyAlignment="1" applyProtection="1">
      <alignment horizontal="center" vertical="top" wrapText="1" shrinkToFit="1"/>
      <protection locked="0"/>
    </xf>
    <xf numFmtId="14" fontId="6" fillId="0" borderId="33" xfId="0" applyNumberFormat="1" applyFont="1" applyFill="1" applyBorder="1" applyAlignment="1" applyProtection="1">
      <alignment horizontal="center" vertical="top" wrapText="1" shrinkToFit="1"/>
      <protection locked="0"/>
    </xf>
    <xf numFmtId="0" fontId="5" fillId="0" borderId="3" xfId="0" applyFont="1" applyFill="1" applyBorder="1" applyAlignment="1" applyProtection="1">
      <alignment vertical="top" wrapText="1"/>
      <protection locked="0"/>
    </xf>
    <xf numFmtId="0" fontId="5" fillId="0" borderId="3" xfId="1" applyFont="1" applyFill="1" applyBorder="1" applyAlignment="1">
      <alignment horizontal="center" vertical="top" wrapText="1"/>
    </xf>
    <xf numFmtId="0" fontId="5" fillId="0" borderId="3" xfId="0" applyFont="1" applyFill="1" applyBorder="1" applyAlignment="1" applyProtection="1">
      <alignment horizontal="center" vertical="top" wrapText="1" shrinkToFit="1"/>
      <protection locked="0"/>
    </xf>
    <xf numFmtId="0" fontId="6" fillId="0" borderId="30" xfId="0" applyFont="1" applyFill="1" applyBorder="1" applyAlignment="1" applyProtection="1">
      <alignment horizontal="center" vertical="top" wrapText="1" shrinkToFit="1"/>
      <protection locked="0"/>
    </xf>
    <xf numFmtId="0" fontId="6" fillId="0" borderId="26" xfId="0" applyFont="1" applyFill="1" applyBorder="1" applyAlignment="1" applyProtection="1">
      <alignment horizontal="center" vertical="top" wrapText="1" shrinkToFit="1"/>
      <protection locked="0"/>
    </xf>
    <xf numFmtId="0" fontId="6" fillId="0" borderId="37" xfId="0" applyFont="1" applyFill="1" applyBorder="1" applyAlignment="1" applyProtection="1">
      <alignment horizontal="center" vertical="top" wrapText="1" shrinkToFit="1"/>
      <protection locked="0"/>
    </xf>
    <xf numFmtId="0" fontId="3" fillId="0" borderId="66" xfId="0" applyFont="1" applyFill="1" applyBorder="1" applyAlignment="1" applyProtection="1">
      <alignment vertical="top" wrapText="1" readingOrder="1"/>
      <protection locked="0"/>
    </xf>
    <xf numFmtId="0" fontId="3" fillId="0" borderId="66" xfId="0" applyFont="1" applyFill="1" applyBorder="1" applyAlignment="1" applyProtection="1">
      <alignment horizontal="center" vertical="top" wrapText="1" readingOrder="1"/>
      <protection locked="0"/>
    </xf>
    <xf numFmtId="0" fontId="6" fillId="0" borderId="67" xfId="0" applyFont="1" applyFill="1" applyBorder="1" applyAlignment="1" applyProtection="1">
      <alignment horizontal="center" vertical="top" wrapText="1" shrinkToFit="1"/>
      <protection locked="0"/>
    </xf>
    <xf numFmtId="0" fontId="6" fillId="0" borderId="68" xfId="0" applyFont="1" applyFill="1" applyBorder="1" applyAlignment="1" applyProtection="1">
      <alignment horizontal="center" vertical="top" wrapText="1" shrinkToFit="1"/>
      <protection locked="0"/>
    </xf>
    <xf numFmtId="14" fontId="6" fillId="0" borderId="68" xfId="0" applyNumberFormat="1" applyFont="1" applyFill="1" applyBorder="1" applyAlignment="1" applyProtection="1">
      <alignment horizontal="center" vertical="top" wrapText="1" shrinkToFit="1"/>
      <protection locked="0"/>
    </xf>
    <xf numFmtId="0" fontId="6" fillId="0" borderId="69" xfId="0" applyFont="1" applyFill="1" applyBorder="1" applyAlignment="1" applyProtection="1">
      <alignment horizontal="center" vertical="top" wrapText="1" shrinkToFit="1"/>
      <protection locked="0"/>
    </xf>
    <xf numFmtId="165" fontId="3" fillId="0" borderId="66" xfId="0" applyNumberFormat="1" applyFont="1" applyFill="1" applyBorder="1" applyAlignment="1" applyProtection="1">
      <alignment vertical="top" wrapText="1" readingOrder="1"/>
      <protection locked="0"/>
    </xf>
    <xf numFmtId="0" fontId="6" fillId="0" borderId="10" xfId="0" applyFont="1" applyFill="1" applyBorder="1" applyAlignment="1" applyProtection="1">
      <alignment horizontal="center" vertical="top" wrapText="1" shrinkToFit="1"/>
      <protection locked="0"/>
    </xf>
    <xf numFmtId="14" fontId="6" fillId="0" borderId="52" xfId="0" applyNumberFormat="1" applyFont="1" applyFill="1" applyBorder="1" applyAlignment="1" applyProtection="1">
      <alignment horizontal="center" vertical="top" wrapText="1" shrinkToFit="1"/>
      <protection locked="0"/>
    </xf>
    <xf numFmtId="14" fontId="6" fillId="0" borderId="8" xfId="0" applyNumberFormat="1" applyFont="1" applyFill="1" applyBorder="1" applyAlignment="1" applyProtection="1">
      <alignment horizontal="center" vertical="top" wrapText="1" shrinkToFit="1"/>
      <protection locked="0"/>
    </xf>
    <xf numFmtId="0" fontId="3" fillId="0" borderId="60" xfId="0" applyFont="1" applyFill="1" applyBorder="1" applyAlignment="1" applyProtection="1">
      <alignment vertical="top" wrapText="1" readingOrder="1"/>
      <protection locked="0"/>
    </xf>
    <xf numFmtId="0" fontId="3" fillId="0" borderId="60" xfId="0" applyFont="1" applyFill="1" applyBorder="1" applyAlignment="1" applyProtection="1">
      <alignment horizontal="center" vertical="top" wrapText="1" readingOrder="1"/>
      <protection locked="0"/>
    </xf>
    <xf numFmtId="49" fontId="3" fillId="0" borderId="60" xfId="0" applyNumberFormat="1" applyFont="1" applyFill="1" applyBorder="1" applyAlignment="1" applyProtection="1">
      <alignment horizontal="center" vertical="top" wrapText="1" readingOrder="1"/>
      <protection locked="0"/>
    </xf>
    <xf numFmtId="165" fontId="3" fillId="0" borderId="60" xfId="0" applyNumberFormat="1" applyFont="1" applyFill="1" applyBorder="1" applyAlignment="1" applyProtection="1">
      <alignment vertical="top" wrapText="1" readingOrder="1"/>
      <protection locked="0"/>
    </xf>
    <xf numFmtId="0" fontId="11" fillId="0" borderId="2" xfId="0" applyFont="1" applyFill="1" applyBorder="1" applyAlignment="1" applyProtection="1">
      <alignment horizontal="center" vertical="top" wrapText="1" shrinkToFit="1"/>
      <protection locked="0"/>
    </xf>
    <xf numFmtId="14" fontId="11" fillId="0" borderId="2" xfId="0" applyNumberFormat="1" applyFont="1" applyFill="1" applyBorder="1" applyAlignment="1" applyProtection="1">
      <alignment horizontal="center" vertical="top" wrapText="1" shrinkToFit="1"/>
      <protection locked="0"/>
    </xf>
    <xf numFmtId="165" fontId="5" fillId="0" borderId="2" xfId="0" applyNumberFormat="1" applyFont="1" applyFill="1" applyBorder="1" applyAlignment="1" applyProtection="1">
      <alignment vertical="top" wrapText="1" readingOrder="1"/>
      <protection locked="0"/>
    </xf>
    <xf numFmtId="0" fontId="16" fillId="0" borderId="3" xfId="0" applyFont="1" applyFill="1" applyBorder="1" applyAlignment="1" applyProtection="1">
      <alignment vertical="top" wrapText="1" readingOrder="1"/>
      <protection locked="0"/>
    </xf>
    <xf numFmtId="0" fontId="16" fillId="0" borderId="3" xfId="0" applyFont="1" applyFill="1" applyBorder="1" applyAlignment="1" applyProtection="1">
      <alignment horizontal="center" vertical="top" wrapText="1" readingOrder="1"/>
      <protection locked="0"/>
    </xf>
    <xf numFmtId="49" fontId="16" fillId="0" borderId="11" xfId="0" applyNumberFormat="1" applyFont="1" applyFill="1" applyBorder="1" applyAlignment="1" applyProtection="1">
      <alignment horizontal="center" vertical="top" wrapText="1" readingOrder="1"/>
      <protection locked="0"/>
    </xf>
    <xf numFmtId="0" fontId="16" fillId="0" borderId="75" xfId="0" applyFont="1" applyFill="1" applyBorder="1" applyAlignment="1" applyProtection="1">
      <alignment vertical="top" wrapText="1" readingOrder="1"/>
      <protection locked="0"/>
    </xf>
    <xf numFmtId="0" fontId="16" fillId="0" borderId="75" xfId="0" applyFont="1" applyFill="1" applyBorder="1" applyAlignment="1" applyProtection="1">
      <alignment horizontal="center" vertical="top" wrapText="1" readingOrder="1"/>
      <protection locked="0"/>
    </xf>
    <xf numFmtId="49" fontId="16" fillId="0" borderId="74" xfId="0" applyNumberFormat="1" applyFont="1" applyFill="1" applyBorder="1" applyAlignment="1" applyProtection="1">
      <alignment horizontal="center" vertical="top" wrapText="1" readingOrder="1"/>
      <protection locked="0"/>
    </xf>
    <xf numFmtId="165" fontId="16" fillId="0" borderId="74" xfId="0" applyNumberFormat="1" applyFont="1" applyFill="1" applyBorder="1" applyAlignment="1" applyProtection="1">
      <alignment vertical="top" wrapText="1" readingOrder="1"/>
      <protection locked="0"/>
    </xf>
    <xf numFmtId="165" fontId="16" fillId="0" borderId="11" xfId="0" applyNumberFormat="1" applyFont="1" applyFill="1" applyBorder="1" applyAlignment="1" applyProtection="1">
      <alignment vertical="top" wrapText="1" readingOrder="1"/>
      <protection locked="0"/>
    </xf>
    <xf numFmtId="164" fontId="3" fillId="0" borderId="0" xfId="0" applyNumberFormat="1" applyFont="1" applyFill="1"/>
    <xf numFmtId="14" fontId="6" fillId="0" borderId="1" xfId="0" applyNumberFormat="1" applyFont="1" applyFill="1" applyBorder="1" applyAlignment="1" applyProtection="1">
      <alignment horizontal="center" vertical="top" wrapText="1" shrinkToFit="1"/>
      <protection locked="0"/>
    </xf>
    <xf numFmtId="49" fontId="12" fillId="0" borderId="5" xfId="0" applyNumberFormat="1" applyFont="1" applyFill="1" applyBorder="1" applyAlignment="1" applyProtection="1">
      <alignment horizontal="center" vertical="top" wrapText="1" readingOrder="1"/>
      <protection locked="0"/>
    </xf>
    <xf numFmtId="165" fontId="12" fillId="0" borderId="5" xfId="0" applyNumberFormat="1" applyFont="1" applyFill="1" applyBorder="1" applyAlignment="1" applyProtection="1">
      <alignment vertical="top" wrapText="1" readingOrder="1"/>
      <protection locked="0"/>
    </xf>
    <xf numFmtId="49" fontId="3" fillId="0" borderId="6" xfId="0" applyNumberFormat="1" applyFont="1" applyFill="1" applyBorder="1" applyAlignment="1" applyProtection="1">
      <alignment horizontal="center" vertical="top" wrapText="1" readingOrder="1"/>
      <protection locked="0"/>
    </xf>
    <xf numFmtId="0" fontId="6" fillId="0" borderId="6" xfId="0" applyFont="1" applyFill="1" applyBorder="1" applyAlignment="1" applyProtection="1">
      <alignment horizontal="center" vertical="top" wrapText="1" shrinkToFit="1"/>
      <protection locked="0"/>
    </xf>
    <xf numFmtId="14" fontId="6" fillId="0" borderId="6" xfId="0" applyNumberFormat="1" applyFont="1" applyFill="1" applyBorder="1" applyAlignment="1" applyProtection="1">
      <alignment horizontal="center" vertical="top" wrapText="1" shrinkToFit="1"/>
      <protection locked="0"/>
    </xf>
    <xf numFmtId="49" fontId="12" fillId="0" borderId="4" xfId="0" applyNumberFormat="1" applyFont="1" applyFill="1" applyBorder="1" applyAlignment="1" applyProtection="1">
      <alignment horizontal="center" vertical="top" wrapText="1" readingOrder="1"/>
      <protection locked="0"/>
    </xf>
    <xf numFmtId="0" fontId="12" fillId="0" borderId="1" xfId="0" applyFont="1" applyFill="1" applyBorder="1" applyAlignment="1" applyProtection="1">
      <alignment vertical="top" wrapText="1" readingOrder="1"/>
      <protection locked="0"/>
    </xf>
    <xf numFmtId="14" fontId="6" fillId="0" borderId="28" xfId="0" applyNumberFormat="1" applyFont="1" applyFill="1" applyBorder="1" applyAlignment="1" applyProtection="1">
      <alignment horizontal="center" vertical="top" wrapText="1" shrinkToFit="1"/>
      <protection locked="0"/>
    </xf>
    <xf numFmtId="0" fontId="3" fillId="0" borderId="6" xfId="0" applyFont="1" applyFill="1" applyBorder="1" applyAlignment="1" applyProtection="1">
      <alignment horizontal="center" vertical="top" wrapText="1" shrinkToFit="1"/>
      <protection locked="0"/>
    </xf>
    <xf numFmtId="0" fontId="3" fillId="0" borderId="26" xfId="0" applyFont="1" applyFill="1" applyBorder="1" applyAlignment="1" applyProtection="1">
      <alignment horizontal="center" vertical="top" wrapText="1" shrinkToFit="1"/>
      <protection locked="0"/>
    </xf>
    <xf numFmtId="14" fontId="3" fillId="0" borderId="37" xfId="0" applyNumberFormat="1" applyFont="1" applyFill="1" applyBorder="1" applyAlignment="1" applyProtection="1">
      <alignment horizontal="center" vertical="top" wrapText="1" shrinkToFit="1"/>
      <protection locked="0"/>
    </xf>
    <xf numFmtId="14" fontId="6" fillId="0" borderId="3" xfId="0" applyNumberFormat="1" applyFont="1" applyFill="1" applyBorder="1" applyAlignment="1" applyProtection="1">
      <alignment horizontal="center" vertical="top" wrapText="1" shrinkToFit="1"/>
      <protection locked="0"/>
    </xf>
    <xf numFmtId="49" fontId="12" fillId="0" borderId="6" xfId="0" applyNumberFormat="1" applyFont="1" applyFill="1" applyBorder="1" applyAlignment="1" applyProtection="1">
      <alignment horizontal="center" vertical="top" wrapText="1" readingOrder="1"/>
      <protection locked="0"/>
    </xf>
    <xf numFmtId="49" fontId="12" fillId="0" borderId="63" xfId="0" applyNumberFormat="1" applyFont="1" applyFill="1" applyBorder="1" applyAlignment="1" applyProtection="1">
      <alignment horizontal="center" vertical="top" wrapText="1" readingOrder="1"/>
      <protection locked="0"/>
    </xf>
    <xf numFmtId="165" fontId="12" fillId="0" borderId="63" xfId="0" applyNumberFormat="1" applyFont="1" applyFill="1" applyBorder="1" applyAlignment="1" applyProtection="1">
      <alignment vertical="top" wrapText="1" readingOrder="1"/>
      <protection locked="0"/>
    </xf>
    <xf numFmtId="0" fontId="12" fillId="0" borderId="4" xfId="0" applyFont="1" applyFill="1" applyBorder="1" applyAlignment="1" applyProtection="1">
      <alignment vertical="top" wrapText="1" readingOrder="1"/>
      <protection locked="0"/>
    </xf>
    <xf numFmtId="49" fontId="12" fillId="0" borderId="61" xfId="0" applyNumberFormat="1" applyFont="1" applyFill="1" applyBorder="1" applyAlignment="1" applyProtection="1">
      <alignment horizontal="center" vertical="top" wrapText="1" readingOrder="1"/>
      <protection locked="0"/>
    </xf>
    <xf numFmtId="165" fontId="12" fillId="0" borderId="61" xfId="0" applyNumberFormat="1" applyFont="1" applyFill="1" applyBorder="1" applyAlignment="1" applyProtection="1">
      <alignment vertical="top" wrapText="1" readingOrder="1"/>
      <protection locked="0"/>
    </xf>
    <xf numFmtId="49" fontId="3" fillId="0" borderId="13" xfId="0" applyNumberFormat="1" applyFont="1" applyFill="1" applyBorder="1" applyAlignment="1" applyProtection="1">
      <alignment horizontal="center" vertical="top" wrapText="1" readingOrder="1"/>
      <protection locked="0"/>
    </xf>
    <xf numFmtId="49" fontId="3" fillId="0" borderId="73" xfId="0" applyNumberFormat="1" applyFont="1" applyFill="1" applyBorder="1" applyAlignment="1" applyProtection="1">
      <alignment horizontal="center" vertical="top" wrapText="1" readingOrder="1"/>
      <protection locked="0"/>
    </xf>
    <xf numFmtId="0" fontId="6" fillId="0" borderId="74" xfId="0" applyFont="1" applyFill="1" applyBorder="1" applyAlignment="1" applyProtection="1">
      <alignment horizontal="center" vertical="top" wrapText="1" shrinkToFit="1"/>
      <protection locked="0"/>
    </xf>
    <xf numFmtId="49" fontId="12" fillId="0" borderId="73" xfId="0" applyNumberFormat="1" applyFont="1" applyFill="1" applyBorder="1" applyAlignment="1" applyProtection="1">
      <alignment horizontal="center" vertical="top" wrapText="1" readingOrder="1"/>
      <protection locked="0"/>
    </xf>
    <xf numFmtId="165" fontId="12" fillId="0" borderId="73" xfId="0" applyNumberFormat="1" applyFont="1" applyFill="1" applyBorder="1" applyAlignment="1" applyProtection="1">
      <alignment vertical="top" wrapText="1" readingOrder="1"/>
      <protection locked="0"/>
    </xf>
    <xf numFmtId="0" fontId="6" fillId="0" borderId="71" xfId="0" applyFont="1" applyFill="1" applyBorder="1" applyAlignment="1" applyProtection="1">
      <alignment horizontal="center" vertical="top" wrapText="1" shrinkToFit="1"/>
      <protection locked="0"/>
    </xf>
    <xf numFmtId="165" fontId="3" fillId="0" borderId="27" xfId="0" applyNumberFormat="1" applyFont="1" applyFill="1" applyBorder="1" applyAlignment="1" applyProtection="1">
      <alignment vertical="top" wrapText="1" readingOrder="1"/>
      <protection locked="0"/>
    </xf>
    <xf numFmtId="165" fontId="3" fillId="0" borderId="64" xfId="0" applyNumberFormat="1" applyFont="1" applyFill="1" applyBorder="1" applyAlignment="1" applyProtection="1">
      <alignment vertical="top" wrapText="1" readingOrder="1"/>
      <protection locked="0"/>
    </xf>
    <xf numFmtId="0" fontId="3" fillId="0" borderId="276" xfId="0" applyFont="1" applyFill="1" applyBorder="1" applyAlignment="1" applyProtection="1">
      <alignment vertical="top" wrapText="1" readingOrder="1"/>
      <protection locked="0"/>
    </xf>
    <xf numFmtId="0" fontId="6" fillId="0" borderId="278" xfId="0" applyFont="1" applyFill="1" applyBorder="1" applyAlignment="1" applyProtection="1">
      <alignment horizontal="center" vertical="top" wrapText="1" shrinkToFit="1"/>
      <protection locked="0"/>
    </xf>
    <xf numFmtId="0" fontId="6" fillId="0" borderId="279" xfId="0" applyFont="1" applyFill="1" applyBorder="1" applyAlignment="1" applyProtection="1">
      <alignment horizontal="center" vertical="top" wrapText="1" shrinkToFit="1"/>
      <protection locked="0"/>
    </xf>
    <xf numFmtId="49" fontId="3" fillId="0" borderId="11" xfId="0" applyNumberFormat="1" applyFont="1" applyFill="1" applyBorder="1" applyAlignment="1" applyProtection="1">
      <alignment horizontal="center" vertical="top" wrapText="1" readingOrder="1"/>
      <protection locked="0"/>
    </xf>
    <xf numFmtId="165" fontId="3" fillId="0" borderId="3" xfId="0" applyNumberFormat="1" applyFont="1" applyFill="1" applyBorder="1" applyAlignment="1" applyProtection="1">
      <alignment vertical="top" wrapText="1" readingOrder="1"/>
      <protection locked="0"/>
    </xf>
    <xf numFmtId="49" fontId="3" fillId="0" borderId="281" xfId="0" applyNumberFormat="1" applyFont="1" applyFill="1" applyBorder="1" applyAlignment="1" applyProtection="1">
      <alignment horizontal="center" vertical="top" wrapText="1" readingOrder="1"/>
      <protection locked="0"/>
    </xf>
    <xf numFmtId="0" fontId="6" fillId="0" borderId="283" xfId="0" applyFont="1" applyFill="1" applyBorder="1" applyAlignment="1" applyProtection="1">
      <alignment horizontal="center" vertical="top" wrapText="1" shrinkToFit="1"/>
      <protection locked="0"/>
    </xf>
    <xf numFmtId="0" fontId="4" fillId="0" borderId="282" xfId="0" applyFont="1" applyFill="1" applyBorder="1" applyAlignment="1" applyProtection="1">
      <alignment horizontal="center" vertical="top" wrapText="1" shrinkToFit="1"/>
      <protection locked="0"/>
    </xf>
    <xf numFmtId="14" fontId="4" fillId="0" borderId="276" xfId="0" applyNumberFormat="1" applyFont="1" applyFill="1" applyBorder="1" applyAlignment="1" applyProtection="1">
      <alignment horizontal="center" vertical="top" wrapText="1" shrinkToFit="1"/>
      <protection locked="0"/>
    </xf>
    <xf numFmtId="49" fontId="3" fillId="0" borderId="273" xfId="0" applyNumberFormat="1" applyFont="1" applyFill="1" applyBorder="1" applyAlignment="1" applyProtection="1">
      <alignment horizontal="center" vertical="top" wrapText="1" readingOrder="1"/>
      <protection locked="0"/>
    </xf>
    <xf numFmtId="0" fontId="4" fillId="0" borderId="261" xfId="0" applyFont="1" applyFill="1" applyBorder="1" applyAlignment="1">
      <alignment horizontal="center" vertical="top" wrapText="1"/>
    </xf>
    <xf numFmtId="0" fontId="4" fillId="0" borderId="264" xfId="0" applyFont="1" applyFill="1" applyBorder="1" applyAlignment="1">
      <alignment horizontal="center" vertical="top" wrapText="1"/>
    </xf>
    <xf numFmtId="0" fontId="4" fillId="0" borderId="262" xfId="0" applyFont="1" applyFill="1" applyBorder="1" applyAlignment="1">
      <alignment horizontal="center" vertical="top" wrapText="1"/>
    </xf>
    <xf numFmtId="0" fontId="4" fillId="0" borderId="280" xfId="0" applyFont="1" applyFill="1" applyBorder="1" applyAlignment="1" applyProtection="1">
      <alignment horizontal="center" vertical="top" wrapText="1" shrinkToFit="1"/>
      <protection locked="0"/>
    </xf>
    <xf numFmtId="14" fontId="4" fillId="0" borderId="17" xfId="0" applyNumberFormat="1" applyFont="1" applyFill="1" applyBorder="1" applyAlignment="1" applyProtection="1">
      <alignment horizontal="center" vertical="top" wrapText="1" shrinkToFit="1"/>
      <protection locked="0"/>
    </xf>
    <xf numFmtId="14" fontId="6" fillId="0" borderId="18" xfId="0" applyNumberFormat="1" applyFont="1" applyFill="1" applyBorder="1" applyAlignment="1" applyProtection="1">
      <alignment horizontal="center" vertical="top" wrapText="1" shrinkToFit="1"/>
      <protection locked="0"/>
    </xf>
    <xf numFmtId="14" fontId="6" fillId="0" borderId="273" xfId="0" applyNumberFormat="1" applyFont="1" applyFill="1" applyBorder="1" applyAlignment="1" applyProtection="1">
      <alignment horizontal="center" vertical="top" wrapText="1" shrinkToFit="1"/>
      <protection locked="0"/>
    </xf>
    <xf numFmtId="0" fontId="3" fillId="0" borderId="279" xfId="0" applyFont="1" applyFill="1" applyBorder="1" applyAlignment="1" applyProtection="1">
      <alignment horizontal="center" vertical="top" wrapText="1" readingOrder="1"/>
      <protection locked="0"/>
    </xf>
    <xf numFmtId="165" fontId="3" fillId="0" borderId="279" xfId="0" applyNumberFormat="1" applyFont="1" applyFill="1" applyBorder="1" applyAlignment="1" applyProtection="1">
      <alignment vertical="top" wrapText="1" readingOrder="1"/>
      <protection locked="0"/>
    </xf>
    <xf numFmtId="0" fontId="3" fillId="0" borderId="244" xfId="0" applyFont="1" applyFill="1" applyBorder="1" applyAlignment="1" applyProtection="1">
      <alignment horizontal="left" vertical="top" wrapText="1" readingOrder="1"/>
      <protection locked="0"/>
    </xf>
    <xf numFmtId="49" fontId="3" fillId="0" borderId="244" xfId="0" applyNumberFormat="1" applyFont="1" applyFill="1" applyBorder="1" applyAlignment="1" applyProtection="1">
      <alignment horizontal="center" vertical="top" wrapText="1" readingOrder="1"/>
      <protection locked="0"/>
    </xf>
    <xf numFmtId="0" fontId="6" fillId="0" borderId="207" xfId="0" applyFont="1" applyFill="1" applyBorder="1" applyAlignment="1" applyProtection="1">
      <alignment horizontal="center" vertical="top" wrapText="1" shrinkToFit="1"/>
      <protection locked="0"/>
    </xf>
    <xf numFmtId="0" fontId="6" fillId="0" borderId="204" xfId="0" applyFont="1" applyFill="1" applyBorder="1" applyAlignment="1" applyProtection="1">
      <alignment horizontal="center" vertical="top" wrapText="1" shrinkToFit="1"/>
      <protection locked="0"/>
    </xf>
    <xf numFmtId="14" fontId="6" fillId="0" borderId="206" xfId="0" applyNumberFormat="1" applyFont="1" applyFill="1" applyBorder="1" applyAlignment="1" applyProtection="1">
      <alignment horizontal="center" vertical="top" wrapText="1" shrinkToFit="1"/>
      <protection locked="0"/>
    </xf>
    <xf numFmtId="0" fontId="3" fillId="0" borderId="12" xfId="0" applyFont="1" applyFill="1" applyBorder="1" applyAlignment="1" applyProtection="1">
      <alignment horizontal="center" vertical="top" wrapText="1" readingOrder="1"/>
      <protection locked="0"/>
    </xf>
    <xf numFmtId="49" fontId="3" fillId="0" borderId="34" xfId="0" applyNumberFormat="1" applyFont="1" applyFill="1" applyBorder="1" applyAlignment="1" applyProtection="1">
      <alignment horizontal="center" vertical="top" wrapText="1" readingOrder="1"/>
      <protection locked="0"/>
    </xf>
    <xf numFmtId="49" fontId="3" fillId="0" borderId="3" xfId="0" applyNumberFormat="1" applyFont="1" applyFill="1" applyBorder="1" applyAlignment="1" applyProtection="1">
      <alignment horizontal="center" vertical="top" wrapText="1" readingOrder="1"/>
      <protection locked="0"/>
    </xf>
    <xf numFmtId="49" fontId="3" fillId="0" borderId="14" xfId="0" applyNumberFormat="1" applyFont="1" applyFill="1" applyBorder="1" applyAlignment="1" applyProtection="1">
      <alignment horizontal="center" vertical="top" wrapText="1" readingOrder="1"/>
      <protection locked="0"/>
    </xf>
    <xf numFmtId="0" fontId="3" fillId="0" borderId="177" xfId="0" applyFont="1" applyFill="1" applyBorder="1" applyAlignment="1" applyProtection="1">
      <alignment horizontal="center" vertical="top" wrapText="1" readingOrder="1"/>
      <protection locked="0"/>
    </xf>
    <xf numFmtId="49" fontId="3" fillId="0" borderId="175" xfId="0" applyNumberFormat="1" applyFont="1" applyFill="1" applyBorder="1" applyAlignment="1" applyProtection="1">
      <alignment horizontal="center" vertical="top" wrapText="1" readingOrder="1"/>
      <protection locked="0"/>
    </xf>
    <xf numFmtId="49" fontId="3" fillId="0" borderId="176" xfId="0" applyNumberFormat="1" applyFont="1" applyFill="1" applyBorder="1" applyAlignment="1" applyProtection="1">
      <alignment horizontal="center" vertical="top" wrapText="1" readingOrder="1"/>
      <protection locked="0"/>
    </xf>
    <xf numFmtId="165" fontId="3" fillId="0" borderId="176" xfId="0" applyNumberFormat="1" applyFont="1" applyFill="1" applyBorder="1" applyAlignment="1" applyProtection="1">
      <alignment vertical="top" wrapText="1" readingOrder="1"/>
      <protection locked="0"/>
    </xf>
    <xf numFmtId="0" fontId="11" fillId="0" borderId="174" xfId="0" applyFont="1" applyFill="1" applyBorder="1" applyAlignment="1" applyProtection="1">
      <alignment horizontal="center" vertical="top" wrapText="1" shrinkToFit="1"/>
      <protection locked="0"/>
    </xf>
    <xf numFmtId="14" fontId="11" fillId="0" borderId="174" xfId="0" applyNumberFormat="1" applyFont="1" applyFill="1" applyBorder="1" applyAlignment="1" applyProtection="1">
      <alignment horizontal="center" vertical="top" wrapText="1" shrinkToFit="1"/>
      <protection locked="0"/>
    </xf>
    <xf numFmtId="0" fontId="5" fillId="0" borderId="174" xfId="0" applyFont="1" applyFill="1" applyBorder="1" applyAlignment="1" applyProtection="1">
      <alignment horizontal="center" vertical="top" wrapText="1" shrinkToFit="1"/>
      <protection locked="0"/>
    </xf>
    <xf numFmtId="0" fontId="4" fillId="0" borderId="257" xfId="0" applyFont="1" applyFill="1" applyBorder="1" applyAlignment="1" applyProtection="1">
      <alignment vertical="top" wrapText="1" shrinkToFit="1"/>
      <protection locked="0"/>
    </xf>
    <xf numFmtId="0" fontId="6" fillId="0" borderId="257" xfId="0" applyFont="1" applyFill="1" applyBorder="1" applyAlignment="1" applyProtection="1">
      <alignment vertical="top" wrapText="1" shrinkToFit="1"/>
      <protection locked="0"/>
    </xf>
    <xf numFmtId="0" fontId="5" fillId="0" borderId="0" xfId="0" applyFont="1" applyFill="1" applyAlignment="1">
      <alignment wrapText="1"/>
    </xf>
    <xf numFmtId="0" fontId="3" fillId="0" borderId="38" xfId="0" applyFont="1" applyFill="1" applyBorder="1" applyAlignment="1" applyProtection="1">
      <alignment horizontal="center" vertical="top" wrapText="1" readingOrder="1"/>
      <protection locked="0"/>
    </xf>
    <xf numFmtId="14" fontId="6" fillId="0" borderId="247" xfId="0" applyNumberFormat="1" applyFont="1" applyFill="1" applyBorder="1" applyAlignment="1" applyProtection="1">
      <alignment vertical="top" wrapText="1" shrinkToFit="1"/>
      <protection locked="0"/>
    </xf>
    <xf numFmtId="0" fontId="6" fillId="0" borderId="31" xfId="0" applyFont="1" applyFill="1" applyBorder="1" applyAlignment="1" applyProtection="1">
      <alignment horizontal="center" vertical="top" wrapText="1" shrinkToFit="1"/>
      <protection locked="0"/>
    </xf>
    <xf numFmtId="49" fontId="3" fillId="0" borderId="72" xfId="0" applyNumberFormat="1" applyFont="1" applyFill="1" applyBorder="1" applyAlignment="1" applyProtection="1">
      <alignment horizontal="center" vertical="top" wrapText="1" readingOrder="1"/>
      <protection locked="0"/>
    </xf>
    <xf numFmtId="49" fontId="3" fillId="0" borderId="70" xfId="0" applyNumberFormat="1" applyFont="1" applyFill="1" applyBorder="1" applyAlignment="1" applyProtection="1">
      <alignment horizontal="center" vertical="top" wrapText="1" readingOrder="1"/>
      <protection locked="0"/>
    </xf>
    <xf numFmtId="165" fontId="3" fillId="0" borderId="70" xfId="0" applyNumberFormat="1" applyFont="1" applyFill="1" applyBorder="1" applyAlignment="1" applyProtection="1">
      <alignment vertical="top" wrapText="1" readingOrder="1"/>
      <protection locked="0"/>
    </xf>
    <xf numFmtId="49" fontId="3" fillId="0" borderId="35" xfId="0" applyNumberFormat="1" applyFont="1" applyFill="1" applyBorder="1" applyAlignment="1" applyProtection="1">
      <alignment horizontal="center" vertical="top" wrapText="1" readingOrder="1"/>
      <protection locked="0"/>
    </xf>
    <xf numFmtId="49" fontId="3" fillId="0" borderId="22" xfId="0" applyNumberFormat="1" applyFont="1" applyFill="1" applyBorder="1" applyAlignment="1" applyProtection="1">
      <alignment horizontal="center" vertical="top" wrapText="1" readingOrder="1"/>
      <protection locked="0"/>
    </xf>
    <xf numFmtId="165" fontId="3" fillId="0" borderId="22" xfId="0" applyNumberFormat="1" applyFont="1" applyFill="1" applyBorder="1" applyAlignment="1" applyProtection="1">
      <alignment vertical="top" wrapText="1" readingOrder="1"/>
      <protection locked="0"/>
    </xf>
    <xf numFmtId="0" fontId="3" fillId="0" borderId="11" xfId="0" applyFont="1" applyFill="1" applyBorder="1" applyAlignment="1" applyProtection="1">
      <alignment horizontal="left" vertical="top" wrapText="1" readingOrder="1"/>
      <protection locked="0"/>
    </xf>
    <xf numFmtId="0" fontId="3" fillId="0" borderId="31" xfId="0" applyFont="1" applyFill="1" applyBorder="1" applyAlignment="1" applyProtection="1">
      <alignment horizontal="center" vertical="top" wrapText="1" shrinkToFit="1"/>
      <protection locked="0"/>
    </xf>
    <xf numFmtId="49" fontId="3" fillId="0" borderId="61" xfId="0" applyNumberFormat="1" applyFont="1" applyFill="1" applyBorder="1" applyAlignment="1" applyProtection="1">
      <alignment horizontal="center" vertical="top" wrapText="1" readingOrder="1"/>
      <protection locked="0"/>
    </xf>
    <xf numFmtId="0" fontId="5" fillId="0" borderId="19" xfId="0" applyFont="1" applyFill="1" applyBorder="1" applyAlignment="1" applyProtection="1">
      <alignment vertical="top" wrapText="1" readingOrder="1"/>
      <protection locked="0"/>
    </xf>
    <xf numFmtId="0" fontId="5" fillId="0" borderId="6" xfId="0" applyFont="1" applyFill="1" applyBorder="1" applyAlignment="1" applyProtection="1">
      <alignment horizontal="center" vertical="top" wrapText="1" readingOrder="1"/>
      <protection locked="0"/>
    </xf>
    <xf numFmtId="0" fontId="6" fillId="0" borderId="2" xfId="0" applyFont="1" applyFill="1" applyBorder="1" applyAlignment="1" applyProtection="1">
      <alignment horizontal="center" vertical="top" wrapText="1" shrinkToFit="1" readingOrder="1"/>
      <protection locked="0"/>
    </xf>
    <xf numFmtId="0" fontId="4" fillId="0" borderId="2" xfId="0" applyFont="1" applyFill="1" applyBorder="1" applyAlignment="1" applyProtection="1">
      <alignment horizontal="center" vertical="top" wrapText="1" shrinkToFit="1" readingOrder="1"/>
      <protection locked="0"/>
    </xf>
    <xf numFmtId="165" fontId="5" fillId="0" borderId="6" xfId="0" applyNumberFormat="1" applyFont="1" applyFill="1" applyBorder="1" applyAlignment="1" applyProtection="1">
      <alignment vertical="top" wrapText="1" readingOrder="1"/>
      <protection locked="0"/>
    </xf>
    <xf numFmtId="0" fontId="6" fillId="0" borderId="53" xfId="0" applyFont="1" applyFill="1" applyBorder="1" applyAlignment="1" applyProtection="1">
      <alignment horizontal="center" vertical="top" wrapText="1" shrinkToFit="1" readingOrder="1"/>
      <protection locked="0"/>
    </xf>
    <xf numFmtId="14" fontId="6" fillId="0" borderId="2" xfId="0" applyNumberFormat="1" applyFont="1" applyFill="1" applyBorder="1" applyAlignment="1" applyProtection="1">
      <alignment horizontal="center" vertical="top" wrapText="1" shrinkToFit="1" readingOrder="1"/>
      <protection locked="0"/>
    </xf>
    <xf numFmtId="0" fontId="4" fillId="0" borderId="53" xfId="0" applyFont="1" applyFill="1" applyBorder="1" applyAlignment="1" applyProtection="1">
      <alignment horizontal="center" vertical="center" wrapText="1" shrinkToFit="1" readingOrder="1"/>
      <protection locked="0"/>
    </xf>
    <xf numFmtId="0" fontId="4" fillId="0" borderId="11" xfId="0" applyFont="1" applyFill="1" applyBorder="1" applyAlignment="1">
      <alignment horizontal="center" vertical="top" wrapText="1"/>
    </xf>
    <xf numFmtId="165" fontId="3" fillId="0" borderId="12" xfId="0" applyNumberFormat="1" applyFont="1" applyFill="1" applyBorder="1" applyAlignment="1" applyProtection="1">
      <alignment vertical="top" wrapText="1" readingOrder="1"/>
      <protection locked="0"/>
    </xf>
    <xf numFmtId="0" fontId="6" fillId="0" borderId="284" xfId="0" applyFont="1" applyFill="1" applyBorder="1" applyAlignment="1" applyProtection="1">
      <alignment horizontal="center" vertical="top" wrapText="1" shrinkToFit="1"/>
      <protection locked="0"/>
    </xf>
    <xf numFmtId="0" fontId="6" fillId="0" borderId="59" xfId="0" applyFont="1" applyFill="1" applyBorder="1" applyAlignment="1" applyProtection="1">
      <alignment horizontal="center" vertical="top" wrapText="1" shrinkToFit="1"/>
      <protection locked="0"/>
    </xf>
    <xf numFmtId="0" fontId="6" fillId="0" borderId="50" xfId="0" applyFont="1" applyFill="1" applyBorder="1" applyAlignment="1" applyProtection="1">
      <alignment horizontal="center" vertical="top" wrapText="1" shrinkToFit="1"/>
      <protection locked="0"/>
    </xf>
    <xf numFmtId="0" fontId="5" fillId="0" borderId="257" xfId="0" applyFont="1" applyFill="1" applyBorder="1" applyAlignment="1" applyProtection="1">
      <alignment vertical="top" wrapText="1" readingOrder="1"/>
      <protection locked="0"/>
    </xf>
    <xf numFmtId="0" fontId="5" fillId="0" borderId="6" xfId="0" applyFont="1" applyFill="1" applyBorder="1" applyAlignment="1" applyProtection="1">
      <alignment horizontal="center" vertical="center" wrapText="1" shrinkToFit="1"/>
      <protection locked="0"/>
    </xf>
    <xf numFmtId="14" fontId="5" fillId="0" borderId="6" xfId="0" applyNumberFormat="1" applyFont="1" applyFill="1" applyBorder="1" applyAlignment="1" applyProtection="1">
      <alignment horizontal="center" vertical="center" wrapText="1" shrinkToFit="1"/>
      <protection locked="0"/>
    </xf>
    <xf numFmtId="0" fontId="12" fillId="0" borderId="5" xfId="0" applyFont="1" applyFill="1" applyBorder="1" applyAlignment="1" applyProtection="1">
      <alignment horizontal="left" vertical="top" wrapText="1" readingOrder="1"/>
      <protection locked="0"/>
    </xf>
    <xf numFmtId="0" fontId="4" fillId="0" borderId="5" xfId="0" applyFont="1" applyFill="1" applyBorder="1" applyAlignment="1">
      <alignment horizontal="center" vertical="top" wrapText="1"/>
    </xf>
    <xf numFmtId="0" fontId="3" fillId="0" borderId="5" xfId="0" applyFont="1" applyFill="1" applyBorder="1" applyAlignment="1" applyProtection="1">
      <alignment vertical="top" wrapText="1" shrinkToFit="1"/>
      <protection locked="0"/>
    </xf>
    <xf numFmtId="14" fontId="3" fillId="0" borderId="5" xfId="0" applyNumberFormat="1" applyFont="1" applyFill="1" applyBorder="1" applyAlignment="1" applyProtection="1">
      <alignment vertical="top" wrapText="1" shrinkToFit="1"/>
      <protection locked="0"/>
    </xf>
    <xf numFmtId="0" fontId="12" fillId="0" borderId="5" xfId="0" applyFont="1" applyFill="1" applyBorder="1" applyAlignment="1" applyProtection="1">
      <alignment vertical="top" wrapText="1" readingOrder="1"/>
      <protection locked="0"/>
    </xf>
    <xf numFmtId="0" fontId="12" fillId="0" borderId="145" xfId="0" applyFont="1" applyFill="1" applyBorder="1" applyAlignment="1" applyProtection="1">
      <alignment vertical="top" wrapText="1" readingOrder="1"/>
      <protection locked="0"/>
    </xf>
    <xf numFmtId="0" fontId="3" fillId="0" borderId="145" xfId="0" applyFont="1" applyFill="1" applyBorder="1" applyAlignment="1" applyProtection="1">
      <alignment horizontal="center" vertical="top" wrapText="1" readingOrder="1"/>
      <protection locked="0"/>
    </xf>
    <xf numFmtId="0" fontId="4" fillId="0" borderId="145" xfId="0" applyFont="1" applyFill="1" applyBorder="1" applyAlignment="1">
      <alignment horizontal="center" vertical="top" wrapText="1"/>
    </xf>
    <xf numFmtId="0" fontId="12" fillId="0" borderId="122" xfId="0" applyFont="1" applyFill="1" applyBorder="1" applyAlignment="1" applyProtection="1">
      <alignment horizontal="left" vertical="top" wrapText="1" readingOrder="1"/>
      <protection locked="0"/>
    </xf>
    <xf numFmtId="0" fontId="3" fillId="0" borderId="139" xfId="0" applyFont="1" applyFill="1" applyBorder="1" applyAlignment="1" applyProtection="1">
      <alignment vertical="top" wrapText="1" shrinkToFit="1"/>
      <protection locked="0"/>
    </xf>
    <xf numFmtId="14" fontId="3" fillId="0" borderId="139" xfId="0" applyNumberFormat="1" applyFont="1" applyFill="1" applyBorder="1" applyAlignment="1" applyProtection="1">
      <alignment vertical="top" wrapText="1" shrinkToFit="1"/>
      <protection locked="0"/>
    </xf>
    <xf numFmtId="0" fontId="3" fillId="0" borderId="138" xfId="0" applyFont="1" applyFill="1" applyBorder="1" applyAlignment="1" applyProtection="1">
      <alignment horizontal="center" vertical="top" wrapText="1" shrinkToFit="1"/>
      <protection locked="0"/>
    </xf>
    <xf numFmtId="0" fontId="3" fillId="0" borderId="138" xfId="0" applyFont="1" applyFill="1" applyBorder="1" applyAlignment="1" applyProtection="1">
      <alignment vertical="top" wrapText="1" shrinkToFit="1"/>
      <protection locked="0"/>
    </xf>
    <xf numFmtId="14" fontId="3" fillId="0" borderId="138" xfId="0" applyNumberFormat="1" applyFont="1" applyFill="1" applyBorder="1" applyAlignment="1" applyProtection="1">
      <alignment vertical="top" wrapText="1" shrinkToFit="1"/>
      <protection locked="0"/>
    </xf>
    <xf numFmtId="0" fontId="3" fillId="0" borderId="144" xfId="0" applyFont="1" applyFill="1" applyBorder="1" applyAlignment="1" applyProtection="1">
      <alignment horizontal="left" vertical="top" wrapText="1" readingOrder="1"/>
      <protection locked="0"/>
    </xf>
    <xf numFmtId="0" fontId="3" fillId="0" borderId="144" xfId="0" applyFont="1" applyFill="1" applyBorder="1" applyAlignment="1" applyProtection="1">
      <alignment horizontal="center" vertical="top" wrapText="1" readingOrder="1"/>
      <protection locked="0"/>
    </xf>
    <xf numFmtId="0" fontId="4" fillId="0" borderId="144" xfId="0" applyFont="1" applyFill="1" applyBorder="1" applyAlignment="1">
      <alignment horizontal="center" vertical="top" wrapText="1"/>
    </xf>
    <xf numFmtId="0" fontId="5" fillId="0" borderId="74" xfId="0" applyFont="1" applyFill="1" applyBorder="1" applyAlignment="1" applyProtection="1">
      <alignment vertical="top" wrapText="1" readingOrder="1"/>
      <protection locked="0"/>
    </xf>
    <xf numFmtId="0" fontId="3" fillId="0" borderId="74" xfId="0" applyFont="1" applyFill="1" applyBorder="1" applyAlignment="1" applyProtection="1">
      <alignment horizontal="center" vertical="top" wrapText="1" readingOrder="1"/>
      <protection locked="0"/>
    </xf>
    <xf numFmtId="0" fontId="3" fillId="0" borderId="74" xfId="0" applyFont="1" applyFill="1" applyBorder="1" applyAlignment="1" applyProtection="1">
      <alignment vertical="top" wrapText="1" readingOrder="1"/>
      <protection locked="0"/>
    </xf>
    <xf numFmtId="0" fontId="3" fillId="0" borderId="83" xfId="0" applyFont="1" applyFill="1" applyBorder="1" applyAlignment="1" applyProtection="1">
      <alignment vertical="top" wrapText="1" readingOrder="1"/>
      <protection locked="0"/>
    </xf>
    <xf numFmtId="0" fontId="3" fillId="0" borderId="84" xfId="0" applyFont="1" applyFill="1" applyBorder="1" applyAlignment="1" applyProtection="1">
      <alignment vertical="top" wrapText="1" readingOrder="1"/>
      <protection locked="0"/>
    </xf>
    <xf numFmtId="0" fontId="3" fillId="0" borderId="14" xfId="0" applyFont="1" applyFill="1" applyBorder="1" applyAlignment="1" applyProtection="1">
      <alignment horizontal="center" vertical="top" wrapText="1" readingOrder="1"/>
      <protection locked="0"/>
    </xf>
    <xf numFmtId="0" fontId="3" fillId="0" borderId="61" xfId="0" applyFont="1" applyFill="1" applyBorder="1" applyAlignment="1" applyProtection="1">
      <alignment horizontal="center" vertical="top" wrapText="1" readingOrder="1"/>
      <protection locked="0"/>
    </xf>
    <xf numFmtId="0" fontId="12" fillId="0" borderId="84" xfId="0" applyFont="1" applyFill="1" applyBorder="1" applyAlignment="1" applyProtection="1">
      <alignment vertical="top" wrapText="1" readingOrder="1"/>
      <protection locked="0"/>
    </xf>
    <xf numFmtId="165" fontId="3" fillId="0" borderId="5" xfId="0" applyNumberFormat="1" applyFont="1" applyFill="1" applyBorder="1" applyAlignment="1" applyProtection="1">
      <alignment horizontal="right" vertical="top" wrapText="1" readingOrder="1"/>
      <protection locked="0"/>
    </xf>
    <xf numFmtId="49" fontId="3" fillId="0" borderId="127" xfId="0" applyNumberFormat="1" applyFont="1" applyFill="1" applyBorder="1" applyAlignment="1" applyProtection="1">
      <alignment horizontal="center" vertical="top" wrapText="1" readingOrder="1"/>
      <protection locked="0"/>
    </xf>
    <xf numFmtId="0" fontId="3" fillId="0" borderId="226" xfId="0" applyFont="1" applyFill="1" applyBorder="1" applyAlignment="1">
      <alignment horizontal="center" vertical="top" wrapText="1"/>
    </xf>
    <xf numFmtId="49" fontId="3" fillId="0" borderId="128" xfId="0" applyNumberFormat="1" applyFont="1" applyFill="1" applyBorder="1" applyAlignment="1" applyProtection="1">
      <alignment horizontal="center" vertical="top" wrapText="1" readingOrder="1"/>
      <protection locked="0"/>
    </xf>
    <xf numFmtId="165" fontId="3" fillId="0" borderId="146" xfId="0" applyNumberFormat="1" applyFont="1" applyFill="1" applyBorder="1" applyAlignment="1" applyProtection="1">
      <alignment vertical="top" wrapText="1" readingOrder="1"/>
      <protection locked="0"/>
    </xf>
    <xf numFmtId="0" fontId="3" fillId="0" borderId="226" xfId="0" applyFont="1" applyFill="1" applyBorder="1" applyAlignment="1" applyProtection="1">
      <alignment vertical="top" wrapText="1" readingOrder="1"/>
      <protection locked="0"/>
    </xf>
    <xf numFmtId="49" fontId="3" fillId="0" borderId="226" xfId="0" applyNumberFormat="1" applyFont="1" applyFill="1" applyBorder="1" applyAlignment="1" applyProtection="1">
      <alignment horizontal="center" vertical="top" wrapText="1" readingOrder="1"/>
      <protection locked="0"/>
    </xf>
    <xf numFmtId="0" fontId="3" fillId="0" borderId="244" xfId="0" applyFont="1" applyFill="1" applyBorder="1" applyAlignment="1" applyProtection="1">
      <alignment vertical="top" wrapText="1" readingOrder="1"/>
      <protection locked="0"/>
    </xf>
    <xf numFmtId="0" fontId="3" fillId="0" borderId="243" xfId="0" applyFont="1" applyFill="1" applyBorder="1" applyAlignment="1" applyProtection="1">
      <alignment horizontal="center" vertical="top" wrapText="1" shrinkToFit="1"/>
      <protection locked="0"/>
    </xf>
    <xf numFmtId="49" fontId="3" fillId="0" borderId="304" xfId="0" applyNumberFormat="1" applyFont="1" applyFill="1" applyBorder="1" applyAlignment="1" applyProtection="1">
      <alignment horizontal="center" vertical="top" wrapText="1" readingOrder="1"/>
      <protection locked="0"/>
    </xf>
    <xf numFmtId="14" fontId="3" fillId="0" borderId="276" xfId="0" applyNumberFormat="1" applyFont="1" applyFill="1" applyBorder="1" applyAlignment="1" applyProtection="1">
      <alignment horizontal="center" vertical="top" wrapText="1" shrinkToFit="1"/>
      <protection locked="0"/>
    </xf>
    <xf numFmtId="165" fontId="3" fillId="0" borderId="283" xfId="0" applyNumberFormat="1" applyFont="1" applyFill="1" applyBorder="1" applyAlignment="1" applyProtection="1">
      <alignment vertical="top" wrapText="1" readingOrder="1"/>
      <protection locked="0"/>
    </xf>
    <xf numFmtId="165" fontId="3" fillId="0" borderId="207" xfId="0" applyNumberFormat="1" applyFont="1" applyFill="1" applyBorder="1" applyAlignment="1" applyProtection="1">
      <alignment vertical="top" wrapText="1" readingOrder="1"/>
      <protection locked="0"/>
    </xf>
    <xf numFmtId="0" fontId="3" fillId="0" borderId="304" xfId="0" applyFont="1" applyFill="1" applyBorder="1" applyAlignment="1" applyProtection="1">
      <alignment horizontal="center" vertical="top" wrapText="1" shrinkToFit="1"/>
      <protection locked="0"/>
    </xf>
    <xf numFmtId="49" fontId="3" fillId="0" borderId="215" xfId="0" applyNumberFormat="1" applyFont="1" applyFill="1" applyBorder="1" applyAlignment="1" applyProtection="1">
      <alignment horizontal="center" vertical="top" wrapText="1" readingOrder="1"/>
      <protection locked="0"/>
    </xf>
    <xf numFmtId="165" fontId="3" fillId="0" borderId="58" xfId="0" applyNumberFormat="1" applyFont="1" applyFill="1" applyBorder="1" applyAlignment="1" applyProtection="1">
      <alignment vertical="top" wrapText="1" readingOrder="1"/>
      <protection locked="0"/>
    </xf>
    <xf numFmtId="165" fontId="3" fillId="0" borderId="32" xfId="0" applyNumberFormat="1" applyFont="1" applyFill="1" applyBorder="1" applyAlignment="1" applyProtection="1">
      <alignment vertical="top" wrapText="1" readingOrder="1"/>
      <protection locked="0"/>
    </xf>
    <xf numFmtId="0" fontId="3" fillId="0" borderId="193" xfId="0" applyFont="1" applyFill="1" applyBorder="1" applyAlignment="1" applyProtection="1">
      <alignment vertical="top" wrapText="1" readingOrder="1"/>
      <protection locked="0"/>
    </xf>
    <xf numFmtId="165" fontId="3" fillId="0" borderId="193" xfId="0" applyNumberFormat="1" applyFont="1" applyFill="1" applyBorder="1" applyAlignment="1" applyProtection="1">
      <alignment vertical="top" wrapText="1" readingOrder="1"/>
      <protection locked="0"/>
    </xf>
    <xf numFmtId="0" fontId="4" fillId="0" borderId="242" xfId="0" applyFont="1" applyFill="1" applyBorder="1" applyAlignment="1">
      <alignment horizontal="center" vertical="top" wrapText="1"/>
    </xf>
    <xf numFmtId="0" fontId="4" fillId="0" borderId="242" xfId="0" applyFont="1" applyFill="1" applyBorder="1" applyAlignment="1">
      <alignment vertical="top" wrapText="1"/>
    </xf>
    <xf numFmtId="49" fontId="3" fillId="0" borderId="210" xfId="0" applyNumberFormat="1" applyFont="1" applyFill="1" applyBorder="1" applyAlignment="1" applyProtection="1">
      <alignment horizontal="center" vertical="top" wrapText="1" readingOrder="1"/>
      <protection locked="0"/>
    </xf>
    <xf numFmtId="0" fontId="3" fillId="0" borderId="166" xfId="0" applyFont="1" applyFill="1" applyBorder="1" applyAlignment="1" applyProtection="1">
      <alignment horizontal="left" vertical="top" wrapText="1" readingOrder="1"/>
      <protection locked="0"/>
    </xf>
    <xf numFmtId="0" fontId="4" fillId="0" borderId="193" xfId="0" applyFont="1" applyFill="1" applyBorder="1" applyAlignment="1">
      <alignment vertical="top" wrapText="1"/>
    </xf>
    <xf numFmtId="0" fontId="12" fillId="0" borderId="111" xfId="0" applyFont="1" applyFill="1" applyBorder="1" applyAlignment="1" applyProtection="1">
      <alignment vertical="top" wrapText="1" readingOrder="1"/>
      <protection locked="0"/>
    </xf>
    <xf numFmtId="0" fontId="5" fillId="0" borderId="100" xfId="0" applyFont="1" applyFill="1" applyBorder="1" applyAlignment="1" applyProtection="1">
      <alignment horizontal="center" vertical="top" wrapText="1" readingOrder="1"/>
      <protection locked="0"/>
    </xf>
    <xf numFmtId="0" fontId="5" fillId="0" borderId="100" xfId="0" applyFont="1" applyFill="1" applyBorder="1" applyAlignment="1" applyProtection="1">
      <alignment vertical="top" wrapText="1" readingOrder="1"/>
      <protection locked="0"/>
    </xf>
    <xf numFmtId="165" fontId="5" fillId="0" borderId="100" xfId="0" applyNumberFormat="1" applyFont="1" applyFill="1" applyBorder="1" applyAlignment="1" applyProtection="1">
      <alignment vertical="top" wrapText="1" readingOrder="1"/>
      <protection locked="0"/>
    </xf>
    <xf numFmtId="0" fontId="6" fillId="0" borderId="53" xfId="1" applyFont="1" applyFill="1" applyBorder="1" applyAlignment="1">
      <alignment horizontal="center" vertical="top" wrapText="1"/>
    </xf>
    <xf numFmtId="49" fontId="3" fillId="0" borderId="65" xfId="0" applyNumberFormat="1" applyFont="1" applyFill="1" applyBorder="1" applyAlignment="1" applyProtection="1">
      <alignment horizontal="center" vertical="top" wrapText="1" readingOrder="1"/>
      <protection locked="0"/>
    </xf>
    <xf numFmtId="49" fontId="3" fillId="0" borderId="85" xfId="0" applyNumberFormat="1" applyFont="1" applyFill="1" applyBorder="1" applyAlignment="1" applyProtection="1">
      <alignment horizontal="center" vertical="top" wrapText="1" readingOrder="1"/>
      <protection locked="0"/>
    </xf>
    <xf numFmtId="49" fontId="3" fillId="0" borderId="180" xfId="0" applyNumberFormat="1" applyFont="1" applyFill="1" applyBorder="1" applyAlignment="1" applyProtection="1">
      <alignment horizontal="center" vertical="top" wrapText="1" readingOrder="1"/>
      <protection locked="0"/>
    </xf>
    <xf numFmtId="165" fontId="3" fillId="0" borderId="180" xfId="0" applyNumberFormat="1" applyFont="1" applyFill="1" applyBorder="1" applyAlignment="1" applyProtection="1">
      <alignment vertical="top" wrapText="1" readingOrder="1"/>
      <protection locked="0"/>
    </xf>
    <xf numFmtId="0" fontId="5" fillId="0" borderId="181" xfId="0" applyFont="1" applyFill="1" applyBorder="1" applyAlignment="1">
      <alignment horizontal="justify" vertical="top" wrapText="1"/>
    </xf>
    <xf numFmtId="0" fontId="5" fillId="0" borderId="179" xfId="0" applyFont="1" applyFill="1" applyBorder="1" applyAlignment="1" applyProtection="1">
      <alignment vertical="top" wrapText="1" readingOrder="1"/>
      <protection locked="0"/>
    </xf>
    <xf numFmtId="0" fontId="3" fillId="0" borderId="153" xfId="0" applyFont="1" applyFill="1" applyBorder="1" applyAlignment="1" applyProtection="1">
      <alignment horizontal="center" vertical="top" wrapText="1" readingOrder="1"/>
      <protection locked="0"/>
    </xf>
    <xf numFmtId="0" fontId="5" fillId="0" borderId="178" xfId="0" applyFont="1" applyFill="1" applyBorder="1" applyAlignment="1" applyProtection="1">
      <alignment horizontal="center" vertical="top" wrapText="1" readingOrder="1"/>
      <protection locked="0"/>
    </xf>
    <xf numFmtId="165" fontId="5" fillId="0" borderId="155" xfId="0" applyNumberFormat="1" applyFont="1" applyFill="1" applyBorder="1" applyAlignment="1" applyProtection="1">
      <alignment vertical="top" wrapText="1" readingOrder="1"/>
      <protection locked="0"/>
    </xf>
    <xf numFmtId="49" fontId="5" fillId="0" borderId="127" xfId="0" applyNumberFormat="1" applyFont="1" applyFill="1" applyBorder="1" applyAlignment="1" applyProtection="1">
      <alignment horizontal="center" vertical="top" wrapText="1" readingOrder="1"/>
      <protection locked="0"/>
    </xf>
    <xf numFmtId="165" fontId="5" fillId="0" borderId="113" xfId="0" applyNumberFormat="1" applyFont="1" applyFill="1" applyBorder="1" applyAlignment="1" applyProtection="1">
      <alignment vertical="top" wrapText="1" readingOrder="1"/>
      <protection locked="0"/>
    </xf>
    <xf numFmtId="0" fontId="4" fillId="0" borderId="168" xfId="0" applyFont="1" applyFill="1" applyBorder="1" applyAlignment="1">
      <alignment horizontal="center" vertical="center" wrapText="1"/>
    </xf>
    <xf numFmtId="165" fontId="3" fillId="0" borderId="6" xfId="0" applyNumberFormat="1" applyFont="1" applyFill="1" applyBorder="1" applyAlignment="1" applyProtection="1">
      <alignment vertical="top" wrapText="1" readingOrder="1"/>
      <protection locked="0"/>
    </xf>
    <xf numFmtId="0" fontId="3" fillId="0" borderId="153" xfId="0" applyFont="1" applyFill="1" applyBorder="1" applyAlignment="1" applyProtection="1">
      <alignment vertical="top" wrapText="1" readingOrder="1"/>
      <protection locked="0"/>
    </xf>
    <xf numFmtId="49" fontId="3" fillId="0" borderId="153" xfId="0" applyNumberFormat="1" applyFont="1" applyFill="1" applyBorder="1" applyAlignment="1" applyProtection="1">
      <alignment horizontal="center" vertical="top" wrapText="1" readingOrder="1"/>
      <protection locked="0"/>
    </xf>
    <xf numFmtId="0" fontId="4" fillId="0" borderId="153" xfId="0" applyFont="1" applyFill="1" applyBorder="1" applyAlignment="1">
      <alignment horizontal="center" vertical="center" wrapText="1"/>
    </xf>
    <xf numFmtId="0" fontId="12" fillId="0" borderId="166" xfId="0" applyFont="1" applyFill="1" applyBorder="1" applyAlignment="1" applyProtection="1">
      <alignment vertical="top" wrapText="1" readingOrder="1"/>
      <protection locked="0"/>
    </xf>
    <xf numFmtId="49" fontId="3" fillId="0" borderId="0" xfId="0" applyNumberFormat="1" applyFont="1" applyFill="1" applyBorder="1" applyAlignment="1" applyProtection="1">
      <alignment horizontal="center" vertical="top" wrapText="1" readingOrder="1"/>
      <protection locked="0"/>
    </xf>
    <xf numFmtId="0" fontId="6" fillId="0" borderId="166" xfId="1" applyFont="1" applyFill="1" applyBorder="1" applyAlignment="1">
      <alignment horizontal="center" vertical="top" wrapText="1"/>
    </xf>
    <xf numFmtId="0" fontId="3" fillId="0" borderId="1" xfId="1" applyFont="1" applyFill="1" applyBorder="1" applyAlignment="1">
      <alignment horizontal="center" vertical="top" wrapText="1"/>
    </xf>
    <xf numFmtId="0" fontId="5" fillId="0" borderId="128" xfId="0" applyFont="1" applyFill="1" applyBorder="1" applyAlignment="1" applyProtection="1">
      <alignment vertical="top" wrapText="1" readingOrder="1"/>
      <protection locked="0"/>
    </xf>
    <xf numFmtId="49" fontId="5" fillId="0" borderId="6" xfId="0" applyNumberFormat="1" applyFont="1" applyFill="1" applyBorder="1" applyAlignment="1" applyProtection="1">
      <alignment horizontal="center" vertical="top" wrapText="1" readingOrder="1"/>
      <protection locked="0"/>
    </xf>
    <xf numFmtId="0" fontId="5" fillId="0" borderId="6" xfId="0" applyFont="1" applyFill="1" applyBorder="1" applyAlignment="1" applyProtection="1">
      <alignment vertical="top" wrapText="1" readingOrder="1"/>
      <protection locked="0"/>
    </xf>
    <xf numFmtId="0" fontId="4" fillId="0" borderId="5" xfId="0" applyFont="1" applyFill="1" applyBorder="1" applyAlignment="1" applyProtection="1">
      <alignment horizontal="center" vertical="top" wrapText="1" shrinkToFit="1"/>
      <protection locked="0"/>
    </xf>
    <xf numFmtId="0" fontId="4" fillId="0" borderId="5" xfId="0" applyFont="1" applyFill="1" applyBorder="1" applyAlignment="1" applyProtection="1">
      <alignment vertical="top" wrapText="1" shrinkToFit="1"/>
      <protection locked="0"/>
    </xf>
    <xf numFmtId="0" fontId="12" fillId="0" borderId="129" xfId="0" applyFont="1" applyFill="1" applyBorder="1" applyAlignment="1" applyProtection="1">
      <alignment vertical="top" wrapText="1" readingOrder="1"/>
      <protection locked="0"/>
    </xf>
    <xf numFmtId="49" fontId="5" fillId="0" borderId="128" xfId="0" applyNumberFormat="1" applyFont="1" applyFill="1" applyBorder="1" applyAlignment="1" applyProtection="1">
      <alignment horizontal="center" vertical="top" wrapText="1" readingOrder="1"/>
      <protection locked="0"/>
    </xf>
    <xf numFmtId="49" fontId="3" fillId="0" borderId="25" xfId="0" applyNumberFormat="1" applyFont="1" applyFill="1" applyBorder="1" applyAlignment="1" applyProtection="1">
      <alignment horizontal="center" vertical="top" wrapText="1" readingOrder="1"/>
      <protection locked="0"/>
    </xf>
    <xf numFmtId="0" fontId="3" fillId="0" borderId="192" xfId="0" applyFont="1" applyFill="1" applyBorder="1" applyAlignment="1" applyProtection="1">
      <alignment horizontal="center" vertical="top" wrapText="1" readingOrder="1"/>
      <protection locked="0"/>
    </xf>
    <xf numFmtId="49" fontId="3" fillId="0" borderId="39" xfId="0" applyNumberFormat="1" applyFont="1" applyFill="1" applyBorder="1" applyAlignment="1" applyProtection="1">
      <alignment horizontal="center" vertical="top" wrapText="1" readingOrder="1"/>
      <protection locked="0"/>
    </xf>
    <xf numFmtId="0" fontId="3" fillId="0" borderId="183" xfId="0" applyFont="1" applyFill="1" applyBorder="1" applyAlignment="1" applyProtection="1">
      <alignment vertical="top" wrapText="1" readingOrder="1"/>
      <protection locked="0"/>
    </xf>
    <xf numFmtId="165" fontId="3" fillId="0" borderId="39" xfId="0" applyNumberFormat="1" applyFont="1" applyFill="1" applyBorder="1" applyAlignment="1" applyProtection="1">
      <alignment vertical="top" wrapText="1" readingOrder="1"/>
      <protection locked="0"/>
    </xf>
    <xf numFmtId="0" fontId="5" fillId="0" borderId="114" xfId="0" applyFont="1" applyFill="1" applyBorder="1" applyAlignment="1" applyProtection="1">
      <alignment vertical="top" wrapText="1" readingOrder="1"/>
      <protection locked="0"/>
    </xf>
    <xf numFmtId="49" fontId="5" fillId="0" borderId="114" xfId="0" applyNumberFormat="1" applyFont="1" applyFill="1" applyBorder="1" applyAlignment="1" applyProtection="1">
      <alignment horizontal="center" vertical="top" wrapText="1" readingOrder="1"/>
      <protection locked="0"/>
    </xf>
    <xf numFmtId="0" fontId="5" fillId="0" borderId="114" xfId="0" applyFont="1" applyFill="1" applyBorder="1" applyAlignment="1" applyProtection="1">
      <alignment horizontal="center" vertical="top" wrapText="1" readingOrder="1"/>
      <protection locked="0"/>
    </xf>
    <xf numFmtId="0" fontId="4" fillId="0" borderId="114" xfId="0" applyFont="1" applyFill="1" applyBorder="1" applyAlignment="1" applyProtection="1">
      <alignment horizontal="center" vertical="top" wrapText="1" shrinkToFit="1"/>
      <protection locked="0"/>
    </xf>
    <xf numFmtId="0" fontId="4" fillId="0" borderId="114" xfId="0" applyFont="1" applyFill="1" applyBorder="1" applyAlignment="1" applyProtection="1">
      <alignment vertical="top" wrapText="1" shrinkToFit="1"/>
      <protection locked="0"/>
    </xf>
    <xf numFmtId="165" fontId="5" fillId="0" borderId="114" xfId="0" applyNumberFormat="1" applyFont="1" applyFill="1" applyBorder="1" applyAlignment="1" applyProtection="1">
      <alignment vertical="top" wrapText="1" readingOrder="1"/>
      <protection locked="0"/>
    </xf>
    <xf numFmtId="49" fontId="3" fillId="0" borderId="130" xfId="0" applyNumberFormat="1" applyFont="1" applyFill="1" applyBorder="1" applyAlignment="1" applyProtection="1">
      <alignment horizontal="center" vertical="top" wrapText="1" readingOrder="1"/>
      <protection locked="0"/>
    </xf>
    <xf numFmtId="165" fontId="3" fillId="0" borderId="130" xfId="0" applyNumberFormat="1" applyFont="1" applyFill="1" applyBorder="1" applyAlignment="1" applyProtection="1">
      <alignment vertical="top" wrapText="1" readingOrder="1"/>
      <protection locked="0"/>
    </xf>
    <xf numFmtId="49" fontId="3" fillId="0" borderId="114" xfId="0" applyNumberFormat="1" applyFont="1" applyFill="1" applyBorder="1" applyAlignment="1" applyProtection="1">
      <alignment horizontal="center" vertical="top" wrapText="1" readingOrder="1"/>
      <protection locked="0"/>
    </xf>
    <xf numFmtId="165" fontId="3" fillId="0" borderId="114" xfId="0" applyNumberFormat="1" applyFont="1" applyFill="1" applyBorder="1" applyAlignment="1" applyProtection="1">
      <alignment vertical="top" wrapText="1" readingOrder="1"/>
      <protection locked="0"/>
    </xf>
    <xf numFmtId="0" fontId="12" fillId="0" borderId="124" xfId="0" applyFont="1" applyFill="1" applyBorder="1" applyAlignment="1" applyProtection="1">
      <alignment vertical="top" wrapText="1" readingOrder="1"/>
      <protection locked="0"/>
    </xf>
    <xf numFmtId="0" fontId="5" fillId="0" borderId="130" xfId="0" applyFont="1" applyFill="1" applyBorder="1" applyAlignment="1" applyProtection="1">
      <alignment horizontal="center" vertical="top" wrapText="1" readingOrder="1"/>
      <protection locked="0"/>
    </xf>
    <xf numFmtId="0" fontId="5" fillId="0" borderId="130" xfId="0" applyFont="1" applyFill="1" applyBorder="1" applyAlignment="1" applyProtection="1">
      <alignment vertical="top" wrapText="1" readingOrder="1"/>
      <protection locked="0"/>
    </xf>
    <xf numFmtId="165" fontId="5" fillId="0" borderId="130" xfId="0" applyNumberFormat="1" applyFont="1" applyFill="1" applyBorder="1" applyAlignment="1" applyProtection="1">
      <alignment vertical="top" wrapText="1" readingOrder="1"/>
      <protection locked="0"/>
    </xf>
    <xf numFmtId="0" fontId="3" fillId="0" borderId="60" xfId="0" applyFont="1" applyFill="1" applyBorder="1" applyAlignment="1">
      <alignment horizontal="center" vertical="top" wrapText="1"/>
    </xf>
    <xf numFmtId="0" fontId="3" fillId="0" borderId="60" xfId="0" applyFont="1" applyFill="1" applyBorder="1" applyAlignment="1" applyProtection="1">
      <alignment horizontal="center" vertical="top" wrapText="1" shrinkToFit="1"/>
      <protection locked="0"/>
    </xf>
    <xf numFmtId="0" fontId="17" fillId="0" borderId="61" xfId="0" applyFont="1" applyFill="1" applyBorder="1"/>
    <xf numFmtId="0" fontId="3" fillId="0" borderId="61" xfId="0" applyFont="1" applyFill="1" applyBorder="1" applyAlignment="1" applyProtection="1">
      <alignment vertical="top" wrapText="1" readingOrder="1"/>
      <protection locked="0"/>
    </xf>
    <xf numFmtId="0" fontId="3" fillId="0" borderId="61" xfId="0" applyFont="1" applyFill="1" applyBorder="1" applyAlignment="1">
      <alignment horizontal="center" vertical="top" wrapText="1"/>
    </xf>
    <xf numFmtId="0" fontId="3" fillId="0" borderId="61" xfId="0" applyFont="1" applyFill="1" applyBorder="1" applyAlignment="1" applyProtection="1">
      <alignment horizontal="center" vertical="top" wrapText="1" shrinkToFit="1"/>
      <protection locked="0"/>
    </xf>
    <xf numFmtId="165" fontId="3" fillId="0" borderId="61" xfId="0" applyNumberFormat="1" applyFont="1" applyFill="1" applyBorder="1" applyAlignment="1" applyProtection="1">
      <alignment vertical="top" wrapText="1" readingOrder="1"/>
      <protection locked="0"/>
    </xf>
    <xf numFmtId="0" fontId="3" fillId="0" borderId="131" xfId="0" applyFont="1" applyFill="1" applyBorder="1" applyAlignment="1" applyProtection="1">
      <alignment horizontal="center" vertical="top" wrapText="1" shrinkToFit="1"/>
      <protection locked="0"/>
    </xf>
    <xf numFmtId="0" fontId="3" fillId="0" borderId="126" xfId="0" applyFont="1" applyFill="1" applyBorder="1" applyAlignment="1" applyProtection="1">
      <alignment horizontal="center" vertical="top" wrapText="1" shrinkToFit="1"/>
      <protection locked="0"/>
    </xf>
    <xf numFmtId="0" fontId="3" fillId="0" borderId="132" xfId="0" applyFont="1" applyFill="1" applyBorder="1" applyAlignment="1" applyProtection="1">
      <alignment horizontal="center" vertical="top" wrapText="1" shrinkToFit="1"/>
      <protection locked="0"/>
    </xf>
    <xf numFmtId="0" fontId="12" fillId="0" borderId="114" xfId="0" applyFont="1" applyFill="1" applyBorder="1" applyAlignment="1" applyProtection="1">
      <alignment vertical="top" wrapText="1" readingOrder="1"/>
      <protection locked="0"/>
    </xf>
    <xf numFmtId="0" fontId="3" fillId="0" borderId="114" xfId="0" applyFont="1" applyFill="1" applyBorder="1" applyAlignment="1" applyProtection="1">
      <alignment horizontal="center" vertical="top" wrapText="1" shrinkToFit="1"/>
      <protection locked="0"/>
    </xf>
    <xf numFmtId="0" fontId="3" fillId="0" borderId="138" xfId="0" applyFont="1" applyFill="1" applyBorder="1" applyAlignment="1" applyProtection="1">
      <alignment vertical="top" wrapText="1" readingOrder="1"/>
      <protection locked="0"/>
    </xf>
    <xf numFmtId="49" fontId="3" fillId="0" borderId="138" xfId="0" applyNumberFormat="1" applyFont="1" applyFill="1" applyBorder="1" applyAlignment="1" applyProtection="1">
      <alignment horizontal="center" vertical="top" wrapText="1" readingOrder="1"/>
      <protection locked="0"/>
    </xf>
    <xf numFmtId="165" fontId="3" fillId="0" borderId="138" xfId="0" applyNumberFormat="1" applyFont="1" applyFill="1" applyBorder="1" applyAlignment="1" applyProtection="1">
      <alignment vertical="top" wrapText="1" readingOrder="1"/>
      <protection locked="0"/>
    </xf>
    <xf numFmtId="49" fontId="3" fillId="0" borderId="154" xfId="0" applyNumberFormat="1" applyFont="1" applyFill="1" applyBorder="1" applyAlignment="1" applyProtection="1">
      <alignment horizontal="center" vertical="top" wrapText="1" readingOrder="1"/>
      <protection locked="0"/>
    </xf>
    <xf numFmtId="0" fontId="3" fillId="0" borderId="154" xfId="0" applyFont="1" applyFill="1" applyBorder="1" applyAlignment="1" applyProtection="1">
      <alignment vertical="top" wrapText="1" readingOrder="1"/>
      <protection locked="0"/>
    </xf>
    <xf numFmtId="0" fontId="3" fillId="0" borderId="153" xfId="0" applyFont="1" applyFill="1" applyBorder="1" applyAlignment="1" applyProtection="1">
      <alignment horizontal="center" vertical="top" wrapText="1" shrinkToFit="1"/>
      <protection locked="0"/>
    </xf>
    <xf numFmtId="14" fontId="3" fillId="0" borderId="172" xfId="0" applyNumberFormat="1" applyFont="1" applyFill="1" applyBorder="1" applyAlignment="1" applyProtection="1">
      <alignment horizontal="center" vertical="top" wrapText="1" shrinkToFit="1"/>
      <protection locked="0"/>
    </xf>
    <xf numFmtId="165" fontId="3" fillId="0" borderId="154" xfId="0" applyNumberFormat="1" applyFont="1" applyFill="1" applyBorder="1" applyAlignment="1" applyProtection="1">
      <alignment vertical="top" wrapText="1" readingOrder="1"/>
      <protection locked="0"/>
    </xf>
    <xf numFmtId="49" fontId="3" fillId="0" borderId="79" xfId="0" applyNumberFormat="1" applyFont="1" applyFill="1" applyBorder="1" applyAlignment="1" applyProtection="1">
      <alignment horizontal="center" vertical="top" wrapText="1" readingOrder="1"/>
      <protection locked="0"/>
    </xf>
    <xf numFmtId="0" fontId="3" fillId="0" borderId="79" xfId="0" applyFont="1" applyFill="1" applyBorder="1" applyAlignment="1" applyProtection="1">
      <alignment vertical="top" wrapText="1" readingOrder="1"/>
      <protection locked="0"/>
    </xf>
    <xf numFmtId="165" fontId="3" fillId="0" borderId="79" xfId="0" applyNumberFormat="1" applyFont="1" applyFill="1" applyBorder="1" applyAlignment="1" applyProtection="1">
      <alignment vertical="top" wrapText="1" readingOrder="1"/>
      <protection locked="0"/>
    </xf>
    <xf numFmtId="0" fontId="3" fillId="0" borderId="153" xfId="0" applyFont="1" applyFill="1" applyBorder="1" applyAlignment="1" applyProtection="1">
      <alignment horizontal="left" vertical="top" wrapText="1" readingOrder="1"/>
      <protection locked="0"/>
    </xf>
    <xf numFmtId="0" fontId="3" fillId="0" borderId="114" xfId="0" applyFont="1" applyFill="1" applyBorder="1" applyAlignment="1" applyProtection="1">
      <alignment vertical="top" wrapText="1" readingOrder="1"/>
      <protection locked="0"/>
    </xf>
    <xf numFmtId="0" fontId="3" fillId="0" borderId="129" xfId="0" applyFont="1" applyFill="1" applyBorder="1" applyAlignment="1" applyProtection="1">
      <alignment horizontal="center" vertical="top" wrapText="1" readingOrder="1"/>
      <protection locked="0"/>
    </xf>
    <xf numFmtId="49" fontId="3" fillId="0" borderId="245" xfId="0" applyNumberFormat="1" applyFont="1" applyFill="1" applyBorder="1" applyAlignment="1" applyProtection="1">
      <alignment horizontal="center" vertical="top" wrapText="1" readingOrder="1"/>
      <protection locked="0"/>
    </xf>
    <xf numFmtId="0" fontId="3" fillId="0" borderId="264" xfId="0" applyFont="1" applyFill="1" applyBorder="1" applyAlignment="1">
      <alignment horizontal="center" vertical="top" wrapText="1"/>
    </xf>
    <xf numFmtId="0" fontId="4" fillId="0" borderId="89" xfId="0" applyFont="1" applyFill="1" applyBorder="1" applyAlignment="1">
      <alignment horizontal="center" vertical="top" wrapText="1"/>
    </xf>
    <xf numFmtId="0" fontId="4" fillId="0" borderId="244" xfId="0" applyFont="1" applyFill="1" applyBorder="1" applyAlignment="1">
      <alignment horizontal="center" vertical="top" wrapText="1"/>
    </xf>
    <xf numFmtId="49" fontId="5" fillId="0" borderId="100" xfId="0" applyNumberFormat="1" applyFont="1" applyFill="1" applyBorder="1" applyAlignment="1" applyProtection="1">
      <alignment horizontal="center" vertical="top" wrapText="1" readingOrder="1"/>
      <protection locked="0"/>
    </xf>
    <xf numFmtId="49" fontId="5" fillId="0" borderId="136" xfId="0" applyNumberFormat="1" applyFont="1" applyFill="1" applyBorder="1" applyAlignment="1" applyProtection="1">
      <alignment horizontal="center" vertical="top" wrapText="1" readingOrder="1"/>
      <protection locked="0"/>
    </xf>
    <xf numFmtId="0" fontId="5" fillId="0" borderId="137" xfId="0" applyFont="1" applyFill="1" applyBorder="1" applyAlignment="1" applyProtection="1">
      <alignment vertical="top" wrapText="1" readingOrder="1"/>
      <protection locked="0"/>
    </xf>
    <xf numFmtId="0" fontId="12" fillId="0" borderId="135" xfId="0" applyFont="1" applyFill="1" applyBorder="1" applyAlignment="1" applyProtection="1">
      <alignment vertical="top" wrapText="1" readingOrder="1"/>
      <protection locked="0"/>
    </xf>
    <xf numFmtId="49" fontId="5" fillId="0" borderId="135" xfId="0" applyNumberFormat="1" applyFont="1" applyFill="1" applyBorder="1" applyAlignment="1" applyProtection="1">
      <alignment horizontal="center" vertical="top" wrapText="1" readingOrder="1"/>
      <protection locked="0"/>
    </xf>
    <xf numFmtId="0" fontId="5" fillId="0" borderId="135" xfId="0" applyFont="1" applyFill="1" applyBorder="1" applyAlignment="1" applyProtection="1">
      <alignment vertical="top" wrapText="1" readingOrder="1"/>
      <protection locked="0"/>
    </xf>
    <xf numFmtId="0" fontId="3" fillId="0" borderId="135" xfId="0" applyFont="1" applyFill="1" applyBorder="1" applyAlignment="1" applyProtection="1">
      <alignment horizontal="center" vertical="top" wrapText="1" readingOrder="1"/>
      <protection locked="0"/>
    </xf>
    <xf numFmtId="165" fontId="5" fillId="0" borderId="135" xfId="0" applyNumberFormat="1" applyFont="1" applyFill="1" applyBorder="1" applyAlignment="1" applyProtection="1">
      <alignment vertical="top" wrapText="1" readingOrder="1"/>
      <protection locked="0"/>
    </xf>
    <xf numFmtId="0" fontId="3" fillId="0" borderId="185" xfId="0" applyFont="1" applyFill="1" applyBorder="1" applyAlignment="1" applyProtection="1">
      <alignment vertical="top" wrapText="1" readingOrder="1"/>
      <protection locked="0"/>
    </xf>
    <xf numFmtId="49" fontId="3" fillId="0" borderId="186" xfId="0" applyNumberFormat="1" applyFont="1" applyFill="1" applyBorder="1" applyAlignment="1" applyProtection="1">
      <alignment horizontal="center" vertical="top" wrapText="1" readingOrder="1"/>
      <protection locked="0"/>
    </xf>
    <xf numFmtId="0" fontId="3" fillId="0" borderId="187" xfId="0" applyFont="1" applyFill="1" applyBorder="1" applyAlignment="1" applyProtection="1">
      <alignment horizontal="center" vertical="top" wrapText="1" readingOrder="1"/>
      <protection locked="0"/>
    </xf>
    <xf numFmtId="0" fontId="3" fillId="0" borderId="45" xfId="0" applyFont="1" applyFill="1" applyBorder="1" applyAlignment="1" applyProtection="1">
      <alignment horizontal="center" vertical="top" wrapText="1" readingOrder="1"/>
      <protection locked="0"/>
    </xf>
    <xf numFmtId="49" fontId="3" fillId="0" borderId="187" xfId="0" applyNumberFormat="1" applyFont="1" applyFill="1" applyBorder="1" applyAlignment="1" applyProtection="1">
      <alignment horizontal="center" vertical="top" wrapText="1" readingOrder="1"/>
      <protection locked="0"/>
    </xf>
    <xf numFmtId="165" fontId="3" fillId="0" borderId="187" xfId="0" applyNumberFormat="1" applyFont="1" applyFill="1" applyBorder="1" applyAlignment="1" applyProtection="1">
      <alignment vertical="top" wrapText="1" readingOrder="1"/>
      <protection locked="0"/>
    </xf>
    <xf numFmtId="49" fontId="3" fillId="0" borderId="248" xfId="0" applyNumberFormat="1" applyFont="1" applyFill="1" applyBorder="1" applyAlignment="1" applyProtection="1">
      <alignment horizontal="center" vertical="top" wrapText="1" readingOrder="1"/>
      <protection locked="0"/>
    </xf>
    <xf numFmtId="165" fontId="3" fillId="0" borderId="246" xfId="0" applyNumberFormat="1" applyFont="1" applyFill="1" applyBorder="1" applyAlignment="1" applyProtection="1">
      <alignment vertical="top" wrapText="1" readingOrder="1"/>
      <protection locked="0"/>
    </xf>
    <xf numFmtId="0" fontId="3" fillId="0" borderId="169" xfId="0" applyFont="1" applyFill="1" applyBorder="1" applyAlignment="1" applyProtection="1">
      <alignment vertical="top" wrapText="1" readingOrder="1"/>
      <protection locked="0"/>
    </xf>
    <xf numFmtId="49" fontId="3" fillId="0" borderId="171" xfId="0" applyNumberFormat="1" applyFont="1" applyFill="1" applyBorder="1" applyAlignment="1" applyProtection="1">
      <alignment horizontal="center" vertical="top" wrapText="1" readingOrder="1"/>
      <protection locked="0"/>
    </xf>
    <xf numFmtId="0" fontId="3" fillId="0" borderId="167" xfId="0" applyFont="1" applyFill="1" applyBorder="1" applyAlignment="1" applyProtection="1">
      <alignment horizontal="center" vertical="top" wrapText="1" readingOrder="1"/>
      <protection locked="0"/>
    </xf>
    <xf numFmtId="49" fontId="3" fillId="0" borderId="167" xfId="0" applyNumberFormat="1" applyFont="1" applyFill="1" applyBorder="1" applyAlignment="1" applyProtection="1">
      <alignment horizontal="center" vertical="top" wrapText="1" readingOrder="1"/>
      <protection locked="0"/>
    </xf>
    <xf numFmtId="165" fontId="3" fillId="0" borderId="167" xfId="0" applyNumberFormat="1" applyFont="1" applyFill="1" applyBorder="1" applyAlignment="1" applyProtection="1">
      <alignment vertical="top" wrapText="1" readingOrder="1"/>
      <protection locked="0"/>
    </xf>
    <xf numFmtId="0" fontId="3" fillId="0" borderId="125" xfId="0" applyFont="1" applyFill="1" applyBorder="1" applyAlignment="1" applyProtection="1">
      <alignment vertical="top" wrapText="1" readingOrder="1"/>
      <protection locked="0"/>
    </xf>
    <xf numFmtId="49" fontId="3" fillId="0" borderId="89" xfId="0" applyNumberFormat="1" applyFont="1" applyFill="1" applyBorder="1" applyAlignment="1" applyProtection="1">
      <alignment horizontal="center" vertical="top" wrapText="1" readingOrder="1"/>
      <protection locked="0"/>
    </xf>
    <xf numFmtId="49" fontId="3" fillId="0" borderId="90" xfId="0" applyNumberFormat="1" applyFont="1" applyFill="1" applyBorder="1" applyAlignment="1" applyProtection="1">
      <alignment horizontal="center" vertical="top" wrapText="1" readingOrder="1"/>
      <protection locked="0"/>
    </xf>
    <xf numFmtId="165" fontId="3" fillId="0" borderId="90" xfId="0" applyNumberFormat="1" applyFont="1" applyFill="1" applyBorder="1" applyAlignment="1" applyProtection="1">
      <alignment vertical="top" wrapText="1" readingOrder="1"/>
      <protection locked="0"/>
    </xf>
    <xf numFmtId="0" fontId="3" fillId="0" borderId="148" xfId="0" applyFont="1" applyFill="1" applyBorder="1" applyAlignment="1" applyProtection="1">
      <alignment vertical="top" wrapText="1" readingOrder="1"/>
      <protection locked="0"/>
    </xf>
    <xf numFmtId="0" fontId="3" fillId="0" borderId="147" xfId="0" applyFont="1" applyFill="1" applyBorder="1" applyAlignment="1" applyProtection="1">
      <alignment vertical="top" wrapText="1" readingOrder="1"/>
      <protection locked="0"/>
    </xf>
    <xf numFmtId="0" fontId="3" fillId="0" borderId="138" xfId="0" applyFont="1" applyFill="1" applyBorder="1" applyAlignment="1" applyProtection="1">
      <alignment horizontal="center" vertical="top" wrapText="1" readingOrder="1"/>
      <protection locked="0"/>
    </xf>
    <xf numFmtId="0" fontId="3" fillId="0" borderId="147" xfId="0" applyFont="1" applyFill="1" applyBorder="1" applyAlignment="1" applyProtection="1">
      <alignment horizontal="center" vertical="top" wrapText="1" readingOrder="1"/>
      <protection locked="0"/>
    </xf>
    <xf numFmtId="49" fontId="3" fillId="0" borderId="147" xfId="0" applyNumberFormat="1" applyFont="1" applyFill="1" applyBorder="1" applyAlignment="1" applyProtection="1">
      <alignment horizontal="center" vertical="top" wrapText="1" readingOrder="1"/>
      <protection locked="0"/>
    </xf>
    <xf numFmtId="165" fontId="3" fillId="0" borderId="147" xfId="0" applyNumberFormat="1" applyFont="1" applyFill="1" applyBorder="1" applyAlignment="1" applyProtection="1">
      <alignment vertical="top" wrapText="1" readingOrder="1"/>
      <protection locked="0"/>
    </xf>
    <xf numFmtId="49" fontId="3" fillId="0" borderId="57" xfId="0" applyNumberFormat="1" applyFont="1" applyFill="1" applyBorder="1" applyAlignment="1" applyProtection="1">
      <alignment horizontal="center" vertical="top" wrapText="1" readingOrder="1"/>
      <protection locked="0"/>
    </xf>
    <xf numFmtId="0" fontId="3" fillId="0" borderId="195" xfId="0" applyFont="1" applyFill="1" applyBorder="1" applyAlignment="1" applyProtection="1">
      <alignment horizontal="center" vertical="top" wrapText="1" readingOrder="1"/>
      <protection locked="0"/>
    </xf>
    <xf numFmtId="49" fontId="3" fillId="0" borderId="49" xfId="0" applyNumberFormat="1" applyFont="1" applyFill="1" applyBorder="1" applyAlignment="1" applyProtection="1">
      <alignment horizontal="center" vertical="top" wrapText="1" readingOrder="1"/>
      <protection locked="0"/>
    </xf>
    <xf numFmtId="165" fontId="3" fillId="0" borderId="49" xfId="0" applyNumberFormat="1" applyFont="1" applyFill="1" applyBorder="1" applyAlignment="1" applyProtection="1">
      <alignment vertical="top" wrapText="1" readingOrder="1"/>
      <protection locked="0"/>
    </xf>
    <xf numFmtId="0" fontId="3" fillId="0" borderId="77" xfId="0" applyFont="1" applyFill="1" applyBorder="1" applyAlignment="1" applyProtection="1">
      <alignment vertical="top" wrapText="1" readingOrder="1"/>
      <protection locked="0"/>
    </xf>
    <xf numFmtId="49" fontId="3" fillId="0" borderId="301" xfId="0" applyNumberFormat="1" applyFont="1" applyFill="1" applyBorder="1" applyAlignment="1" applyProtection="1">
      <alignment horizontal="center" vertical="top" wrapText="1" readingOrder="1"/>
      <protection locked="0"/>
    </xf>
    <xf numFmtId="0" fontId="3" fillId="0" borderId="301" xfId="0" applyFont="1" applyFill="1" applyBorder="1" applyAlignment="1">
      <alignment horizontal="center" vertical="top" wrapText="1"/>
    </xf>
    <xf numFmtId="0" fontId="3" fillId="0" borderId="25" xfId="0" applyFont="1" applyFill="1" applyBorder="1" applyAlignment="1">
      <alignment horizontal="center" vertical="top" wrapText="1"/>
    </xf>
    <xf numFmtId="0" fontId="3" fillId="0" borderId="301" xfId="0" applyFont="1" applyFill="1" applyBorder="1" applyAlignment="1" applyProtection="1">
      <alignment vertical="top" wrapText="1" readingOrder="1"/>
      <protection locked="0"/>
    </xf>
    <xf numFmtId="165" fontId="3" fillId="0" borderId="301" xfId="0" applyNumberFormat="1" applyFont="1" applyFill="1" applyBorder="1" applyAlignment="1" applyProtection="1">
      <alignment vertical="top" wrapText="1" readingOrder="1"/>
      <protection locked="0"/>
    </xf>
    <xf numFmtId="0" fontId="3" fillId="0" borderId="302" xfId="0" applyFont="1" applyFill="1" applyBorder="1" applyAlignment="1">
      <alignment horizontal="center" vertical="top" wrapText="1"/>
    </xf>
    <xf numFmtId="165" fontId="3" fillId="0" borderId="297" xfId="0" applyNumberFormat="1" applyFont="1" applyFill="1" applyBorder="1" applyAlignment="1" applyProtection="1">
      <alignment vertical="top" wrapText="1" readingOrder="1"/>
      <protection locked="0"/>
    </xf>
    <xf numFmtId="0" fontId="12" fillId="0" borderId="22" xfId="0" applyFont="1" applyFill="1" applyBorder="1" applyAlignment="1" applyProtection="1">
      <alignment vertical="top" wrapText="1" readingOrder="1"/>
      <protection locked="0"/>
    </xf>
    <xf numFmtId="0" fontId="3" fillId="0" borderId="88" xfId="0" applyFont="1" applyFill="1" applyBorder="1" applyAlignment="1" applyProtection="1">
      <alignment horizontal="center" vertical="top" wrapText="1" readingOrder="1"/>
      <protection locked="0"/>
    </xf>
    <xf numFmtId="0" fontId="3" fillId="0" borderId="87" xfId="0" applyFont="1" applyFill="1" applyBorder="1" applyAlignment="1" applyProtection="1">
      <alignment horizontal="center" vertical="top" wrapText="1" readingOrder="1"/>
      <protection locked="0"/>
    </xf>
    <xf numFmtId="0" fontId="3" fillId="0" borderId="6" xfId="0" applyFont="1" applyFill="1" applyBorder="1" applyAlignment="1" applyProtection="1">
      <alignment vertical="top" wrapText="1" readingOrder="1"/>
      <protection locked="0"/>
    </xf>
    <xf numFmtId="0" fontId="3" fillId="0" borderId="6" xfId="0" applyFont="1" applyFill="1" applyBorder="1" applyAlignment="1" applyProtection="1">
      <alignment horizontal="center" vertical="top" wrapText="1" readingOrder="1"/>
      <protection locked="0"/>
    </xf>
    <xf numFmtId="0" fontId="5" fillId="0" borderId="168" xfId="0" applyFont="1" applyFill="1" applyBorder="1" applyAlignment="1" applyProtection="1">
      <alignment vertical="top" wrapText="1" readingOrder="1"/>
      <protection locked="0"/>
    </xf>
    <xf numFmtId="0" fontId="5" fillId="0" borderId="49" xfId="0" applyFont="1" applyFill="1" applyBorder="1" applyAlignment="1" applyProtection="1">
      <alignment horizontal="center" vertical="top" wrapText="1" readingOrder="1"/>
      <protection locked="0"/>
    </xf>
    <xf numFmtId="0" fontId="5" fillId="0" borderId="49" xfId="0" applyFont="1" applyFill="1" applyBorder="1" applyAlignment="1" applyProtection="1">
      <alignment vertical="top" wrapText="1" readingOrder="1"/>
      <protection locked="0"/>
    </xf>
    <xf numFmtId="0" fontId="3" fillId="0" borderId="49" xfId="0" applyFont="1" applyFill="1" applyBorder="1" applyAlignment="1" applyProtection="1">
      <alignment horizontal="center" vertical="top" wrapText="1" readingOrder="1"/>
      <protection locked="0"/>
    </xf>
    <xf numFmtId="0" fontId="3" fillId="0" borderId="49" xfId="0" applyFont="1" applyFill="1" applyBorder="1" applyAlignment="1" applyProtection="1">
      <alignment vertical="top" wrapText="1" readingOrder="1"/>
      <protection locked="0"/>
    </xf>
    <xf numFmtId="49" fontId="5" fillId="0" borderId="49" xfId="0" applyNumberFormat="1" applyFont="1" applyFill="1" applyBorder="1" applyAlignment="1" applyProtection="1">
      <alignment horizontal="center" vertical="top" wrapText="1" readingOrder="1"/>
      <protection locked="0"/>
    </xf>
    <xf numFmtId="165" fontId="5" fillId="0" borderId="49" xfId="0" applyNumberFormat="1" applyFont="1" applyFill="1" applyBorder="1" applyAlignment="1" applyProtection="1">
      <alignment vertical="top" wrapText="1" readingOrder="1"/>
      <protection locked="0"/>
    </xf>
    <xf numFmtId="0" fontId="12" fillId="0" borderId="77" xfId="0" applyFont="1" applyFill="1" applyBorder="1" applyAlignment="1" applyProtection="1">
      <alignment vertical="top" wrapText="1" readingOrder="1"/>
      <protection locked="0"/>
    </xf>
    <xf numFmtId="0" fontId="5" fillId="0" borderId="77" xfId="0" applyFont="1" applyFill="1" applyBorder="1" applyAlignment="1" applyProtection="1">
      <alignment horizontal="center" vertical="top" wrapText="1" readingOrder="1"/>
      <protection locked="0"/>
    </xf>
    <xf numFmtId="0" fontId="3" fillId="0" borderId="77" xfId="0" applyFont="1" applyFill="1" applyBorder="1" applyAlignment="1" applyProtection="1">
      <alignment horizontal="center" vertical="top" wrapText="1" readingOrder="1"/>
      <protection locked="0"/>
    </xf>
    <xf numFmtId="0" fontId="3" fillId="0" borderId="246" xfId="0" applyFont="1" applyFill="1" applyBorder="1" applyAlignment="1" applyProtection="1">
      <alignment vertical="top" wrapText="1" readingOrder="1"/>
      <protection locked="0"/>
    </xf>
    <xf numFmtId="0" fontId="3" fillId="0" borderId="143" xfId="0" applyFont="1" applyFill="1" applyBorder="1" applyAlignment="1" applyProtection="1">
      <alignment horizontal="center" vertical="top" wrapText="1" readingOrder="1"/>
      <protection locked="0"/>
    </xf>
    <xf numFmtId="0" fontId="3" fillId="0" borderId="184" xfId="0" applyFont="1" applyFill="1" applyBorder="1" applyAlignment="1" applyProtection="1">
      <alignment horizontal="left" vertical="top" wrapText="1" readingOrder="1"/>
      <protection locked="0"/>
    </xf>
    <xf numFmtId="14" fontId="3" fillId="0" borderId="153" xfId="0" applyNumberFormat="1" applyFont="1" applyFill="1" applyBorder="1" applyAlignment="1" applyProtection="1">
      <alignment horizontal="center" vertical="top" wrapText="1" shrinkToFit="1"/>
      <protection locked="0"/>
    </xf>
    <xf numFmtId="165" fontId="3" fillId="0" borderId="172" xfId="0" applyNumberFormat="1" applyFont="1" applyFill="1" applyBorder="1" applyAlignment="1" applyProtection="1">
      <alignment vertical="top" wrapText="1" readingOrder="1"/>
      <protection locked="0"/>
    </xf>
    <xf numFmtId="0" fontId="5" fillId="0" borderId="140" xfId="0" applyFont="1" applyFill="1" applyBorder="1" applyAlignment="1" applyProtection="1">
      <alignment vertical="top" wrapText="1" readingOrder="1"/>
      <protection locked="0"/>
    </xf>
    <xf numFmtId="0" fontId="5" fillId="0" borderId="148" xfId="0" applyFont="1" applyFill="1" applyBorder="1" applyAlignment="1" applyProtection="1">
      <alignment horizontal="center" vertical="top" wrapText="1" readingOrder="1"/>
      <protection locked="0"/>
    </xf>
    <xf numFmtId="0" fontId="5" fillId="0" borderId="148" xfId="0" applyFont="1" applyFill="1" applyBorder="1" applyAlignment="1" applyProtection="1">
      <alignment vertical="top" wrapText="1" readingOrder="1"/>
      <protection locked="0"/>
    </xf>
    <xf numFmtId="165" fontId="5" fillId="0" borderId="151" xfId="0" applyNumberFormat="1" applyFont="1" applyFill="1" applyBorder="1" applyAlignment="1" applyProtection="1">
      <alignment vertical="top" wrapText="1" readingOrder="1"/>
      <protection locked="0"/>
    </xf>
    <xf numFmtId="0" fontId="5" fillId="0" borderId="133" xfId="0" applyFont="1" applyFill="1" applyBorder="1" applyAlignment="1" applyProtection="1">
      <alignment horizontal="center" vertical="top" wrapText="1" readingOrder="1"/>
      <protection locked="0"/>
    </xf>
    <xf numFmtId="0" fontId="3" fillId="0" borderId="142" xfId="0" applyFont="1" applyFill="1" applyBorder="1" applyAlignment="1" applyProtection="1">
      <alignment vertical="top" wrapText="1" shrinkToFit="1"/>
      <protection locked="0"/>
    </xf>
    <xf numFmtId="0" fontId="12" fillId="0" borderId="190" xfId="0" applyFont="1" applyFill="1" applyBorder="1" applyAlignment="1" applyProtection="1">
      <alignment vertical="top" wrapText="1" readingOrder="1"/>
      <protection locked="0"/>
    </xf>
    <xf numFmtId="0" fontId="5" fillId="0" borderId="190" xfId="0" applyFont="1" applyFill="1" applyBorder="1" applyAlignment="1" applyProtection="1">
      <alignment horizontal="center" vertical="top" wrapText="1" readingOrder="1"/>
      <protection locked="0"/>
    </xf>
    <xf numFmtId="0" fontId="5" fillId="0" borderId="190" xfId="0" applyFont="1" applyFill="1" applyBorder="1" applyAlignment="1" applyProtection="1">
      <alignment vertical="top" wrapText="1" readingOrder="1"/>
      <protection locked="0"/>
    </xf>
    <xf numFmtId="0" fontId="3" fillId="0" borderId="190" xfId="0" applyFont="1" applyFill="1" applyBorder="1" applyAlignment="1" applyProtection="1">
      <alignment horizontal="center" vertical="top" wrapText="1" shrinkToFit="1"/>
      <protection locked="0"/>
    </xf>
    <xf numFmtId="165" fontId="5" fillId="0" borderId="190" xfId="0" applyNumberFormat="1" applyFont="1" applyFill="1" applyBorder="1" applyAlignment="1" applyProtection="1">
      <alignment vertical="top" wrapText="1" readingOrder="1"/>
      <protection locked="0"/>
    </xf>
    <xf numFmtId="0" fontId="3" fillId="0" borderId="192" xfId="0" applyFont="1" applyFill="1" applyBorder="1" applyAlignment="1" applyProtection="1">
      <alignment horizontal="left" vertical="top" wrapText="1" readingOrder="1"/>
      <protection locked="0"/>
    </xf>
    <xf numFmtId="49" fontId="3" fillId="0" borderId="192" xfId="0" applyNumberFormat="1" applyFont="1" applyFill="1" applyBorder="1" applyAlignment="1" applyProtection="1">
      <alignment horizontal="center" vertical="top" wrapText="1" readingOrder="1"/>
      <protection locked="0"/>
    </xf>
    <xf numFmtId="0" fontId="3" fillId="0" borderId="192" xfId="0" applyFont="1" applyFill="1" applyBorder="1" applyAlignment="1" applyProtection="1">
      <alignment vertical="top" wrapText="1" readingOrder="1"/>
      <protection locked="0"/>
    </xf>
    <xf numFmtId="0" fontId="3" fillId="0" borderId="192" xfId="0" applyFont="1" applyFill="1" applyBorder="1" applyAlignment="1">
      <alignment horizontal="center" vertical="top" wrapText="1"/>
    </xf>
    <xf numFmtId="0" fontId="3" fillId="0" borderId="192" xfId="0" applyFont="1" applyFill="1" applyBorder="1" applyAlignment="1" applyProtection="1">
      <alignment horizontal="center" vertical="top" wrapText="1" shrinkToFit="1"/>
      <protection locked="0"/>
    </xf>
    <xf numFmtId="14" fontId="3" fillId="0" borderId="192" xfId="0" applyNumberFormat="1" applyFont="1" applyFill="1" applyBorder="1" applyAlignment="1" applyProtection="1">
      <alignment horizontal="center" vertical="top" wrapText="1" shrinkToFit="1"/>
      <protection locked="0"/>
    </xf>
    <xf numFmtId="165" fontId="3" fillId="0" borderId="192" xfId="0" applyNumberFormat="1" applyFont="1" applyFill="1" applyBorder="1" applyAlignment="1" applyProtection="1">
      <alignment vertical="top" wrapText="1" readingOrder="1"/>
      <protection locked="0"/>
    </xf>
    <xf numFmtId="49" fontId="3" fillId="0" borderId="183" xfId="0" applyNumberFormat="1" applyFont="1" applyFill="1" applyBorder="1" applyAlignment="1" applyProtection="1">
      <alignment horizontal="center" vertical="top" wrapText="1" readingOrder="1"/>
      <protection locked="0"/>
    </xf>
    <xf numFmtId="0" fontId="3" fillId="0" borderId="153" xfId="0" applyFont="1" applyFill="1" applyBorder="1" applyAlignment="1">
      <alignment horizontal="center" vertical="top" wrapText="1"/>
    </xf>
    <xf numFmtId="165" fontId="3" fillId="0" borderId="153" xfId="0" applyNumberFormat="1" applyFont="1" applyFill="1" applyBorder="1" applyAlignment="1" applyProtection="1">
      <alignment vertical="top" wrapText="1" readingOrder="1"/>
      <protection locked="0"/>
    </xf>
    <xf numFmtId="0" fontId="12" fillId="0" borderId="134" xfId="0" applyFont="1" applyFill="1" applyBorder="1" applyAlignment="1" applyProtection="1">
      <alignment horizontal="left" vertical="top" wrapText="1" readingOrder="1"/>
      <protection locked="0"/>
    </xf>
    <xf numFmtId="0" fontId="3" fillId="0" borderId="149" xfId="0" applyFont="1" applyFill="1" applyBorder="1" applyAlignment="1" applyProtection="1">
      <alignment vertical="top" wrapText="1" readingOrder="1"/>
      <protection locked="0"/>
    </xf>
    <xf numFmtId="165" fontId="3" fillId="0" borderId="89" xfId="0" applyNumberFormat="1" applyFont="1" applyFill="1" applyBorder="1" applyAlignment="1" applyProtection="1">
      <alignment vertical="top" wrapText="1" readingOrder="1"/>
      <protection locked="0"/>
    </xf>
    <xf numFmtId="0" fontId="12" fillId="0" borderId="139" xfId="0" applyFont="1" applyFill="1" applyBorder="1" applyAlignment="1" applyProtection="1">
      <alignment vertical="top" wrapText="1" readingOrder="1"/>
      <protection locked="0"/>
    </xf>
    <xf numFmtId="0" fontId="3" fillId="0" borderId="113" xfId="0" applyFont="1" applyFill="1" applyBorder="1" applyAlignment="1">
      <alignment horizontal="center" vertical="top" wrapText="1"/>
    </xf>
    <xf numFmtId="0" fontId="3" fillId="0" borderId="113" xfId="0" applyFont="1" applyFill="1" applyBorder="1" applyAlignment="1" applyProtection="1">
      <alignment horizontal="center" vertical="top" wrapText="1" shrinkToFit="1"/>
      <protection locked="0"/>
    </xf>
    <xf numFmtId="14" fontId="3" fillId="0" borderId="113" xfId="0" applyNumberFormat="1" applyFont="1" applyFill="1" applyBorder="1" applyAlignment="1" applyProtection="1">
      <alignment horizontal="center" vertical="top" wrapText="1" shrinkToFit="1"/>
      <protection locked="0"/>
    </xf>
    <xf numFmtId="49" fontId="3" fillId="0" borderId="23" xfId="0" applyNumberFormat="1" applyFont="1" applyFill="1" applyBorder="1" applyAlignment="1" applyProtection="1">
      <alignment horizontal="center" vertical="top" wrapText="1" readingOrder="1"/>
      <protection locked="0"/>
    </xf>
    <xf numFmtId="14" fontId="3" fillId="0" borderId="61" xfId="0" applyNumberFormat="1" applyFont="1" applyFill="1" applyBorder="1" applyAlignment="1" applyProtection="1">
      <alignment horizontal="center" vertical="top" wrapText="1" shrinkToFit="1"/>
      <protection locked="0"/>
    </xf>
    <xf numFmtId="14" fontId="3" fillId="0" borderId="60" xfId="0" applyNumberFormat="1" applyFont="1" applyFill="1" applyBorder="1" applyAlignment="1" applyProtection="1">
      <alignment horizontal="center" vertical="top" wrapText="1" shrinkToFit="1"/>
      <protection locked="0"/>
    </xf>
    <xf numFmtId="0" fontId="3" fillId="0" borderId="76" xfId="0" applyFont="1" applyFill="1" applyBorder="1" applyAlignment="1" applyProtection="1">
      <alignment horizontal="center" vertical="top" wrapText="1" shrinkToFit="1"/>
      <protection locked="0"/>
    </xf>
    <xf numFmtId="14" fontId="3" fillId="0" borderId="76" xfId="0" applyNumberFormat="1" applyFont="1" applyFill="1" applyBorder="1" applyAlignment="1" applyProtection="1">
      <alignment horizontal="center" vertical="top" wrapText="1" shrinkToFit="1"/>
      <protection locked="0"/>
    </xf>
    <xf numFmtId="0" fontId="12" fillId="0" borderId="139" xfId="0" applyFont="1" applyFill="1" applyBorder="1" applyAlignment="1" applyProtection="1">
      <alignment horizontal="left" vertical="top" wrapText="1" readingOrder="1"/>
      <protection locked="0"/>
    </xf>
    <xf numFmtId="0" fontId="6" fillId="0" borderId="5" xfId="1" applyFont="1" applyFill="1" applyBorder="1" applyAlignment="1">
      <alignment horizontal="center" vertical="center" wrapText="1"/>
    </xf>
    <xf numFmtId="0" fontId="6" fillId="0" borderId="76" xfId="1" applyFont="1" applyFill="1" applyBorder="1" applyAlignment="1">
      <alignment horizontal="center" vertical="center" wrapText="1"/>
    </xf>
    <xf numFmtId="165" fontId="3" fillId="0" borderId="56" xfId="0" applyNumberFormat="1" applyFont="1" applyFill="1" applyBorder="1" applyAlignment="1" applyProtection="1">
      <alignment horizontal="right" vertical="top" wrapText="1" readingOrder="1"/>
      <protection locked="0"/>
    </xf>
    <xf numFmtId="0" fontId="6" fillId="0" borderId="192" xfId="1" applyFont="1" applyFill="1" applyBorder="1" applyAlignment="1">
      <alignment horizontal="center" vertical="center" wrapText="1"/>
    </xf>
    <xf numFmtId="0" fontId="5" fillId="0" borderId="138" xfId="0" applyFont="1" applyFill="1" applyBorder="1" applyAlignment="1" applyProtection="1">
      <alignment vertical="top" wrapText="1" readingOrder="1"/>
      <protection locked="0"/>
    </xf>
    <xf numFmtId="0" fontId="5" fillId="0" borderId="92" xfId="0" applyFont="1" applyFill="1" applyBorder="1" applyAlignment="1" applyProtection="1">
      <alignment vertical="top" wrapText="1" readingOrder="1"/>
      <protection locked="0"/>
    </xf>
    <xf numFmtId="0" fontId="4" fillId="0" borderId="91" xfId="0" applyFont="1" applyFill="1" applyBorder="1" applyAlignment="1">
      <alignment horizontal="center" vertical="top" wrapText="1"/>
    </xf>
    <xf numFmtId="165" fontId="3" fillId="0" borderId="1" xfId="0" applyNumberFormat="1" applyFont="1" applyFill="1" applyBorder="1" applyAlignment="1" applyProtection="1">
      <alignment horizontal="right" vertical="top" wrapText="1" readingOrder="1"/>
      <protection locked="0"/>
    </xf>
    <xf numFmtId="0" fontId="5" fillId="0" borderId="113" xfId="0" applyFont="1" applyFill="1" applyBorder="1" applyAlignment="1" applyProtection="1">
      <alignment vertical="top" wrapText="1" readingOrder="1"/>
      <protection locked="0"/>
    </xf>
    <xf numFmtId="0" fontId="3" fillId="0" borderId="6" xfId="0" applyFont="1" applyFill="1" applyBorder="1" applyAlignment="1" applyProtection="1">
      <alignment horizontal="center" vertical="center" wrapText="1" shrinkToFit="1"/>
      <protection locked="0"/>
    </xf>
    <xf numFmtId="14" fontId="3" fillId="0" borderId="6" xfId="0" applyNumberFormat="1" applyFont="1" applyFill="1" applyBorder="1" applyAlignment="1" applyProtection="1">
      <alignment horizontal="center" vertical="top" wrapText="1" shrinkToFit="1"/>
      <protection locked="0"/>
    </xf>
    <xf numFmtId="49" fontId="3" fillId="0" borderId="76" xfId="0" applyNumberFormat="1" applyFont="1" applyFill="1" applyBorder="1" applyAlignment="1" applyProtection="1">
      <alignment horizontal="center" vertical="top" wrapText="1" readingOrder="1"/>
      <protection locked="0"/>
    </xf>
    <xf numFmtId="0" fontId="3" fillId="0" borderId="76" xfId="0" applyFont="1" applyFill="1" applyBorder="1" applyAlignment="1" applyProtection="1">
      <alignment horizontal="center" vertical="top" wrapText="1" readingOrder="1"/>
      <protection locked="0"/>
    </xf>
    <xf numFmtId="165" fontId="3" fillId="0" borderId="76" xfId="0" applyNumberFormat="1" applyFont="1" applyFill="1" applyBorder="1" applyAlignment="1" applyProtection="1">
      <alignment horizontal="right" vertical="top" wrapText="1" readingOrder="1"/>
      <protection locked="0"/>
    </xf>
    <xf numFmtId="0" fontId="3" fillId="0" borderId="150" xfId="0" applyFont="1" applyFill="1" applyBorder="1" applyAlignment="1" applyProtection="1">
      <alignment horizontal="center" vertical="top" wrapText="1" shrinkToFit="1"/>
      <protection locked="0"/>
    </xf>
    <xf numFmtId="14" fontId="3" fillId="0" borderId="150" xfId="0" applyNumberFormat="1" applyFont="1" applyFill="1" applyBorder="1" applyAlignment="1" applyProtection="1">
      <alignment horizontal="center" vertical="top" wrapText="1" shrinkToFit="1"/>
      <protection locked="0"/>
    </xf>
    <xf numFmtId="0" fontId="12" fillId="0" borderId="242" xfId="0" applyFont="1" applyFill="1" applyBorder="1" applyAlignment="1" applyProtection="1">
      <alignment horizontal="left" vertical="top" wrapText="1" readingOrder="1"/>
      <protection locked="0"/>
    </xf>
    <xf numFmtId="49" fontId="5" fillId="0" borderId="253" xfId="0" applyNumberFormat="1" applyFont="1" applyFill="1" applyBorder="1" applyAlignment="1" applyProtection="1">
      <alignment horizontal="center" vertical="top" wrapText="1" readingOrder="1"/>
      <protection locked="0"/>
    </xf>
    <xf numFmtId="165" fontId="5" fillId="0" borderId="253" xfId="0" applyNumberFormat="1" applyFont="1" applyFill="1" applyBorder="1" applyAlignment="1" applyProtection="1">
      <alignment vertical="top" wrapText="1" readingOrder="1"/>
      <protection locked="0"/>
    </xf>
    <xf numFmtId="14" fontId="3" fillId="0" borderId="77" xfId="0" applyNumberFormat="1" applyFont="1" applyFill="1" applyBorder="1" applyAlignment="1" applyProtection="1">
      <alignment horizontal="center" vertical="top" wrapText="1" shrinkToFit="1"/>
      <protection locked="0"/>
    </xf>
    <xf numFmtId="49" fontId="5" fillId="0" borderId="61" xfId="0" applyNumberFormat="1" applyFont="1" applyFill="1" applyBorder="1" applyAlignment="1" applyProtection="1">
      <alignment horizontal="center" vertical="top" wrapText="1" readingOrder="1"/>
      <protection locked="0"/>
    </xf>
    <xf numFmtId="165" fontId="5" fillId="0" borderId="61" xfId="0" applyNumberFormat="1" applyFont="1" applyFill="1" applyBorder="1" applyAlignment="1" applyProtection="1">
      <alignment vertical="top" wrapText="1" readingOrder="1"/>
      <protection locked="0"/>
    </xf>
    <xf numFmtId="0" fontId="5" fillId="0" borderId="273" xfId="0" applyFont="1" applyFill="1" applyBorder="1" applyAlignment="1" applyProtection="1">
      <alignment vertical="top" wrapText="1" readingOrder="1"/>
      <protection locked="0"/>
    </xf>
    <xf numFmtId="0" fontId="5" fillId="0" borderId="253" xfId="0" applyFont="1" applyFill="1" applyBorder="1" applyAlignment="1" applyProtection="1">
      <alignment vertical="top" wrapText="1" readingOrder="1"/>
      <protection locked="0"/>
    </xf>
    <xf numFmtId="14" fontId="3" fillId="0" borderId="283" xfId="0" applyNumberFormat="1" applyFont="1" applyFill="1" applyBorder="1" applyAlignment="1" applyProtection="1">
      <alignment horizontal="center" vertical="top" wrapText="1" shrinkToFit="1"/>
      <protection locked="0"/>
    </xf>
    <xf numFmtId="49" fontId="5" fillId="0" borderId="281" xfId="0" applyNumberFormat="1" applyFont="1" applyFill="1" applyBorder="1" applyAlignment="1" applyProtection="1">
      <alignment horizontal="center" vertical="top" wrapText="1" readingOrder="1"/>
      <protection locked="0"/>
    </xf>
    <xf numFmtId="14" fontId="3" fillId="0" borderId="207" xfId="0" applyNumberFormat="1" applyFont="1" applyFill="1" applyBorder="1" applyAlignment="1" applyProtection="1">
      <alignment horizontal="center" vertical="top" wrapText="1" shrinkToFit="1"/>
      <protection locked="0"/>
    </xf>
    <xf numFmtId="49" fontId="5" fillId="0" borderId="244" xfId="0" applyNumberFormat="1" applyFont="1" applyFill="1" applyBorder="1" applyAlignment="1" applyProtection="1">
      <alignment horizontal="center" vertical="top" wrapText="1" readingOrder="1"/>
      <protection locked="0"/>
    </xf>
    <xf numFmtId="14" fontId="3" fillId="0" borderId="241" xfId="0" applyNumberFormat="1" applyFont="1" applyFill="1" applyBorder="1" applyAlignment="1" applyProtection="1">
      <alignment horizontal="center" vertical="top" wrapText="1" shrinkToFit="1"/>
      <protection locked="0"/>
    </xf>
    <xf numFmtId="165" fontId="5" fillId="0" borderId="242" xfId="0" applyNumberFormat="1" applyFont="1" applyFill="1" applyBorder="1" applyAlignment="1" applyProtection="1">
      <alignment vertical="top" wrapText="1" readingOrder="1"/>
      <protection locked="0"/>
    </xf>
    <xf numFmtId="0" fontId="5" fillId="0" borderId="242" xfId="0" applyFont="1" applyFill="1" applyBorder="1" applyAlignment="1" applyProtection="1">
      <alignment horizontal="center" vertical="top" wrapText="1" readingOrder="1"/>
      <protection locked="0"/>
    </xf>
    <xf numFmtId="0" fontId="5" fillId="0" borderId="244" xfId="0" applyFont="1" applyFill="1" applyBorder="1" applyAlignment="1" applyProtection="1">
      <alignment vertical="top" wrapText="1" readingOrder="1"/>
      <protection locked="0"/>
    </xf>
    <xf numFmtId="165" fontId="3" fillId="0" borderId="259" xfId="0" applyNumberFormat="1" applyFont="1" applyFill="1" applyBorder="1" applyAlignment="1" applyProtection="1">
      <alignment vertical="top" wrapText="1" readingOrder="1"/>
      <protection locked="0"/>
    </xf>
    <xf numFmtId="0" fontId="3" fillId="0" borderId="25" xfId="0" applyFont="1" applyFill="1" applyBorder="1" applyAlignment="1" applyProtection="1">
      <alignment horizontal="center" vertical="top" wrapText="1" shrinkToFit="1"/>
      <protection locked="0"/>
    </xf>
    <xf numFmtId="14" fontId="3" fillId="0" borderId="25" xfId="0" applyNumberFormat="1" applyFont="1" applyFill="1" applyBorder="1" applyAlignment="1" applyProtection="1">
      <alignment horizontal="center" vertical="top" wrapText="1" shrinkToFit="1"/>
      <protection locked="0"/>
    </xf>
    <xf numFmtId="49" fontId="5" fillId="0" borderId="146" xfId="0" applyNumberFormat="1" applyFont="1" applyFill="1" applyBorder="1" applyAlignment="1" applyProtection="1">
      <alignment horizontal="center" vertical="top" wrapText="1" readingOrder="1"/>
      <protection locked="0"/>
    </xf>
    <xf numFmtId="14" fontId="3" fillId="0" borderId="256" xfId="0" applyNumberFormat="1" applyFont="1" applyFill="1" applyBorder="1" applyAlignment="1" applyProtection="1">
      <alignment horizontal="center" vertical="top" wrapText="1" shrinkToFit="1"/>
      <protection locked="0"/>
    </xf>
    <xf numFmtId="49" fontId="5" fillId="0" borderId="259" xfId="0" applyNumberFormat="1" applyFont="1" applyFill="1" applyBorder="1" applyAlignment="1" applyProtection="1">
      <alignment horizontal="center" vertical="top" wrapText="1" readingOrder="1"/>
      <protection locked="0"/>
    </xf>
    <xf numFmtId="165" fontId="5" fillId="0" borderId="259" xfId="0" applyNumberFormat="1" applyFont="1" applyFill="1" applyBorder="1" applyAlignment="1" applyProtection="1">
      <alignment vertical="top" wrapText="1" readingOrder="1"/>
      <protection locked="0"/>
    </xf>
    <xf numFmtId="0" fontId="5" fillId="0" borderId="134" xfId="0" applyFont="1" applyFill="1" applyBorder="1" applyAlignment="1" applyProtection="1">
      <alignment horizontal="center" vertical="top" wrapText="1" readingOrder="1"/>
      <protection locked="0"/>
    </xf>
    <xf numFmtId="0" fontId="5" fillId="0" borderId="134" xfId="0" applyFont="1" applyFill="1" applyBorder="1" applyAlignment="1" applyProtection="1">
      <alignment vertical="top" wrapText="1" readingOrder="1"/>
      <protection locked="0"/>
    </xf>
    <xf numFmtId="0" fontId="3" fillId="0" borderId="244" xfId="0" applyFont="1" applyFill="1" applyBorder="1" applyAlignment="1" applyProtection="1">
      <alignment horizontal="center" vertical="top" wrapText="1" shrinkToFit="1"/>
      <protection locked="0"/>
    </xf>
    <xf numFmtId="14" fontId="3" fillId="0" borderId="244" xfId="0" applyNumberFormat="1" applyFont="1" applyFill="1" applyBorder="1" applyAlignment="1" applyProtection="1">
      <alignment horizontal="center" vertical="top" wrapText="1" shrinkToFit="1"/>
      <protection locked="0"/>
    </xf>
    <xf numFmtId="49" fontId="5" fillId="0" borderId="89" xfId="0" applyNumberFormat="1" applyFont="1" applyFill="1" applyBorder="1" applyAlignment="1" applyProtection="1">
      <alignment horizontal="center" vertical="top" wrapText="1" readingOrder="1"/>
      <protection locked="0"/>
    </xf>
    <xf numFmtId="165" fontId="5" fillId="0" borderId="89" xfId="0" applyNumberFormat="1" applyFont="1" applyFill="1" applyBorder="1" applyAlignment="1" applyProtection="1">
      <alignment vertical="top" wrapText="1" readingOrder="1"/>
      <protection locked="0"/>
    </xf>
    <xf numFmtId="49" fontId="5" fillId="0" borderId="2" xfId="0" applyNumberFormat="1" applyFont="1" applyFill="1" applyBorder="1" applyAlignment="1" applyProtection="1">
      <alignment horizontal="center" vertical="top" wrapText="1" readingOrder="1"/>
      <protection locked="0"/>
    </xf>
    <xf numFmtId="0" fontId="4" fillId="0" borderId="92" xfId="0" applyFont="1" applyFill="1" applyBorder="1" applyAlignment="1">
      <alignment horizontal="center" vertical="top" wrapText="1"/>
    </xf>
    <xf numFmtId="0" fontId="4" fillId="0" borderId="93" xfId="0" applyFont="1" applyFill="1" applyBorder="1" applyAlignment="1">
      <alignment horizontal="center" vertical="top" wrapText="1"/>
    </xf>
    <xf numFmtId="0" fontId="4" fillId="0" borderId="94" xfId="0" applyFont="1" applyFill="1" applyBorder="1" applyAlignment="1">
      <alignment horizontal="center" vertical="top" wrapText="1"/>
    </xf>
    <xf numFmtId="0" fontId="3" fillId="0" borderId="5" xfId="0" applyFont="1" applyFill="1" applyBorder="1" applyAlignment="1" applyProtection="1">
      <alignment horizontal="center" vertical="top" wrapText="1" shrinkToFit="1" readingOrder="1"/>
      <protection locked="0"/>
    </xf>
    <xf numFmtId="0" fontId="4" fillId="0" borderId="5" xfId="0" applyFont="1" applyFill="1" applyBorder="1" applyAlignment="1" applyProtection="1">
      <alignment horizontal="center" vertical="top" wrapText="1" shrinkToFit="1" readingOrder="1"/>
      <protection locked="0"/>
    </xf>
    <xf numFmtId="14" fontId="6" fillId="0" borderId="5" xfId="0" applyNumberFormat="1" applyFont="1" applyFill="1" applyBorder="1" applyAlignment="1" applyProtection="1">
      <alignment horizontal="center" vertical="top" wrapText="1" shrinkToFit="1" readingOrder="1"/>
      <protection locked="0"/>
    </xf>
    <xf numFmtId="0" fontId="4" fillId="0" borderId="5" xfId="0" applyFont="1" applyFill="1" applyBorder="1" applyAlignment="1" applyProtection="1">
      <alignment vertical="top" wrapText="1" shrinkToFit="1" readingOrder="1"/>
      <protection locked="0"/>
    </xf>
    <xf numFmtId="0" fontId="3" fillId="0" borderId="154" xfId="0" applyFont="1" applyFill="1" applyBorder="1" applyAlignment="1" applyProtection="1">
      <alignment horizontal="center" vertical="top" wrapText="1" shrinkToFit="1" readingOrder="1"/>
      <protection locked="0"/>
    </xf>
    <xf numFmtId="0" fontId="5" fillId="0" borderId="154" xfId="0" applyFont="1" applyFill="1" applyBorder="1" applyAlignment="1" applyProtection="1">
      <alignment horizontal="center" vertical="top" wrapText="1" readingOrder="1"/>
      <protection locked="0"/>
    </xf>
    <xf numFmtId="165" fontId="5" fillId="0" borderId="154" xfId="0" applyNumberFormat="1" applyFont="1" applyFill="1" applyBorder="1" applyAlignment="1" applyProtection="1">
      <alignment vertical="top" wrapText="1" readingOrder="1"/>
      <protection locked="0"/>
    </xf>
    <xf numFmtId="0" fontId="3" fillId="0" borderId="166" xfId="0" applyFont="1" applyFill="1" applyBorder="1" applyAlignment="1" applyProtection="1">
      <alignment horizontal="center" vertical="top" wrapText="1" shrinkToFit="1" readingOrder="1"/>
      <protection locked="0"/>
    </xf>
    <xf numFmtId="0" fontId="5" fillId="0" borderId="166" xfId="0" applyFont="1" applyFill="1" applyBorder="1" applyAlignment="1" applyProtection="1">
      <alignment horizontal="center" vertical="top" wrapText="1" readingOrder="1"/>
      <protection locked="0"/>
    </xf>
    <xf numFmtId="0" fontId="3" fillId="0" borderId="153" xfId="0" applyFont="1" applyFill="1" applyBorder="1" applyAlignment="1" applyProtection="1">
      <alignment horizontal="center" vertical="top" wrapText="1" shrinkToFit="1" readingOrder="1"/>
      <protection locked="0"/>
    </xf>
    <xf numFmtId="0" fontId="6" fillId="0" borderId="153" xfId="1" applyFont="1" applyFill="1" applyBorder="1" applyAlignment="1">
      <alignment horizontal="center" vertical="top" wrapText="1" readingOrder="1"/>
    </xf>
    <xf numFmtId="0" fontId="4" fillId="0" borderId="153" xfId="0" applyFont="1" applyFill="1" applyBorder="1" applyAlignment="1">
      <alignment horizontal="center" vertical="top" wrapText="1"/>
    </xf>
    <xf numFmtId="0" fontId="5" fillId="0" borderId="153" xfId="0" applyFont="1" applyFill="1" applyBorder="1" applyAlignment="1" applyProtection="1">
      <alignment horizontal="center" vertical="top" wrapText="1" readingOrder="1"/>
      <protection locked="0"/>
    </xf>
    <xf numFmtId="0" fontId="5" fillId="0" borderId="116" xfId="0" applyFont="1" applyFill="1" applyBorder="1" applyAlignment="1" applyProtection="1">
      <alignment vertical="top" wrapText="1" readingOrder="1"/>
      <protection locked="0"/>
    </xf>
    <xf numFmtId="0" fontId="5" fillId="0" borderId="82" xfId="0" applyFont="1" applyFill="1" applyBorder="1" applyAlignment="1" applyProtection="1">
      <alignment horizontal="center" vertical="top" wrapText="1" readingOrder="1"/>
      <protection locked="0"/>
    </xf>
    <xf numFmtId="0" fontId="5" fillId="0" borderId="155" xfId="0" applyFont="1" applyFill="1" applyBorder="1" applyAlignment="1" applyProtection="1">
      <alignment vertical="top" wrapText="1" readingOrder="1"/>
      <protection locked="0"/>
    </xf>
    <xf numFmtId="0" fontId="3" fillId="0" borderId="155" xfId="0" applyFont="1" applyFill="1" applyBorder="1" applyAlignment="1" applyProtection="1">
      <alignment horizontal="center" vertical="center" wrapText="1" shrinkToFit="1"/>
      <protection locked="0"/>
    </xf>
    <xf numFmtId="14" fontId="3" fillId="0" borderId="155" xfId="0" applyNumberFormat="1" applyFont="1" applyFill="1" applyBorder="1" applyAlignment="1" applyProtection="1">
      <alignment horizontal="center" vertical="center" wrapText="1" shrinkToFit="1"/>
      <protection locked="0"/>
    </xf>
    <xf numFmtId="0" fontId="5" fillId="0" borderId="155" xfId="0" applyFont="1" applyFill="1" applyBorder="1" applyAlignment="1" applyProtection="1">
      <alignment horizontal="center" vertical="top" wrapText="1" readingOrder="1"/>
      <protection locked="0"/>
    </xf>
    <xf numFmtId="0" fontId="3" fillId="0" borderId="5" xfId="1" applyFont="1" applyFill="1" applyBorder="1" applyAlignment="1">
      <alignment horizontal="center" vertical="top" wrapText="1"/>
    </xf>
    <xf numFmtId="165" fontId="3" fillId="0" borderId="7" xfId="0" applyNumberFormat="1" applyFont="1" applyFill="1" applyBorder="1" applyAlignment="1" applyProtection="1">
      <alignment vertical="top" wrapText="1" readingOrder="1"/>
      <protection locked="0"/>
    </xf>
    <xf numFmtId="0" fontId="10" fillId="0" borderId="0" xfId="0" applyFont="1" applyFill="1" applyAlignment="1">
      <alignment horizontal="center" vertical="top"/>
    </xf>
    <xf numFmtId="165" fontId="10" fillId="0" borderId="0" xfId="0" applyNumberFormat="1" applyFont="1" applyFill="1"/>
    <xf numFmtId="167" fontId="10" fillId="0" borderId="0" xfId="0" applyNumberFormat="1" applyFont="1" applyFill="1"/>
    <xf numFmtId="4" fontId="10" fillId="0" borderId="0" xfId="0" applyNumberFormat="1" applyFont="1" applyFill="1"/>
    <xf numFmtId="0" fontId="3" fillId="0" borderId="256" xfId="0" applyFont="1" applyFill="1" applyBorder="1" applyAlignment="1" applyProtection="1">
      <alignment horizontal="center" vertical="top" wrapText="1" shrinkToFit="1"/>
      <protection locked="0"/>
    </xf>
    <xf numFmtId="0" fontId="3" fillId="0" borderId="243" xfId="0" applyFont="1" applyFill="1" applyBorder="1" applyAlignment="1" applyProtection="1">
      <alignment horizontal="center" vertical="top" wrapText="1" readingOrder="1"/>
      <protection locked="0"/>
    </xf>
    <xf numFmtId="0" fontId="4" fillId="0" borderId="226" xfId="0" applyFont="1" applyFill="1" applyBorder="1" applyAlignment="1">
      <alignment horizontal="center" vertical="top" wrapText="1"/>
    </xf>
    <xf numFmtId="0" fontId="3" fillId="0" borderId="298" xfId="0" applyFont="1" applyFill="1" applyBorder="1" applyAlignment="1" applyProtection="1">
      <alignment horizontal="center" vertical="top" wrapText="1" readingOrder="1"/>
      <protection locked="0"/>
    </xf>
    <xf numFmtId="0" fontId="3" fillId="0" borderId="0" xfId="0" applyFont="1" applyFill="1" applyBorder="1" applyAlignment="1" applyProtection="1">
      <alignment horizontal="center" vertical="top" wrapText="1" readingOrder="1"/>
      <protection locked="0"/>
    </xf>
    <xf numFmtId="0" fontId="3" fillId="0" borderId="228" xfId="0" applyFont="1" applyFill="1" applyBorder="1" applyAlignment="1" applyProtection="1">
      <alignment horizontal="center" vertical="top" wrapText="1" readingOrder="1"/>
      <protection locked="0"/>
    </xf>
    <xf numFmtId="0" fontId="3" fillId="0" borderId="0" xfId="0" applyFont="1" applyFill="1" applyAlignment="1" applyProtection="1">
      <alignment horizontal="left" vertical="top" wrapText="1" readingOrder="1"/>
      <protection locked="0"/>
    </xf>
    <xf numFmtId="49" fontId="3" fillId="0" borderId="294" xfId="0" applyNumberFormat="1" applyFont="1" applyFill="1" applyBorder="1" applyAlignment="1" applyProtection="1">
      <alignment horizontal="center" vertical="top" wrapText="1" readingOrder="1"/>
      <protection locked="0"/>
    </xf>
    <xf numFmtId="0" fontId="3" fillId="0" borderId="279" xfId="0" applyFont="1" applyFill="1" applyBorder="1" applyAlignment="1" applyProtection="1">
      <alignment vertical="top" wrapText="1" readingOrder="1"/>
      <protection locked="0"/>
    </xf>
    <xf numFmtId="0" fontId="5" fillId="0" borderId="290" xfId="0" applyFont="1" applyFill="1" applyBorder="1" applyAlignment="1" applyProtection="1">
      <alignment horizontal="center" vertical="top" wrapText="1" readingOrder="1"/>
      <protection locked="0"/>
    </xf>
    <xf numFmtId="0" fontId="5" fillId="0" borderId="279" xfId="0" applyFont="1" applyFill="1" applyBorder="1" applyAlignment="1" applyProtection="1">
      <alignment vertical="top" wrapText="1" readingOrder="1"/>
      <protection locked="0"/>
    </xf>
    <xf numFmtId="49" fontId="3" fillId="0" borderId="282" xfId="0" applyNumberFormat="1" applyFont="1" applyFill="1" applyBorder="1" applyAlignment="1" applyProtection="1">
      <alignment horizontal="center" vertical="top" wrapText="1" readingOrder="1"/>
      <protection locked="0"/>
    </xf>
    <xf numFmtId="0" fontId="4" fillId="0" borderId="285" xfId="0" applyFont="1" applyFill="1" applyBorder="1" applyAlignment="1">
      <alignment horizontal="center" vertical="top" wrapText="1"/>
    </xf>
    <xf numFmtId="0" fontId="4" fillId="0" borderId="126" xfId="0" applyFont="1" applyFill="1" applyBorder="1" applyAlignment="1">
      <alignment horizontal="center" vertical="top" wrapText="1"/>
    </xf>
    <xf numFmtId="0" fontId="3" fillId="0" borderId="242" xfId="0" applyFont="1" applyFill="1" applyBorder="1" applyAlignment="1" applyProtection="1">
      <alignment horizontal="center" vertical="top" wrapText="1" shrinkToFit="1" readingOrder="1"/>
      <protection locked="0"/>
    </xf>
    <xf numFmtId="0" fontId="4" fillId="0" borderId="242" xfId="0" applyFont="1" applyFill="1" applyBorder="1" applyAlignment="1" applyProtection="1">
      <alignment horizontal="center" vertical="top" wrapText="1" shrinkToFit="1" readingOrder="1"/>
      <protection locked="0"/>
    </xf>
    <xf numFmtId="14" fontId="6" fillId="0" borderId="242" xfId="0" applyNumberFormat="1" applyFont="1" applyFill="1" applyBorder="1" applyAlignment="1" applyProtection="1">
      <alignment horizontal="center" vertical="top" wrapText="1" shrinkToFit="1" readingOrder="1"/>
      <protection locked="0"/>
    </xf>
    <xf numFmtId="0" fontId="3" fillId="0" borderId="282" xfId="0" applyFont="1" applyFill="1" applyBorder="1" applyAlignment="1" applyProtection="1">
      <alignment horizontal="center" vertical="top" wrapText="1" shrinkToFit="1"/>
      <protection locked="0"/>
    </xf>
    <xf numFmtId="0" fontId="3" fillId="0" borderId="275" xfId="0" applyFont="1" applyFill="1" applyBorder="1" applyAlignment="1">
      <alignment horizontal="center" vertical="top" wrapText="1"/>
    </xf>
    <xf numFmtId="0" fontId="3" fillId="0" borderId="307" xfId="0" applyFont="1" applyFill="1" applyBorder="1" applyAlignment="1">
      <alignment horizontal="center" vertical="top" wrapText="1"/>
    </xf>
    <xf numFmtId="14" fontId="3" fillId="0" borderId="301" xfId="0" applyNumberFormat="1" applyFont="1" applyFill="1" applyBorder="1" applyAlignment="1" applyProtection="1">
      <alignment horizontal="center" vertical="top" wrapText="1" shrinkToFit="1"/>
      <protection locked="0"/>
    </xf>
    <xf numFmtId="165" fontId="3" fillId="0" borderId="306" xfId="0" applyNumberFormat="1" applyFont="1" applyFill="1" applyBorder="1" applyAlignment="1" applyProtection="1">
      <alignment vertical="top" wrapText="1" readingOrder="1"/>
      <protection locked="0"/>
    </xf>
    <xf numFmtId="165" fontId="3" fillId="0" borderId="308" xfId="0" applyNumberFormat="1" applyFont="1" applyFill="1" applyBorder="1" applyAlignment="1" applyProtection="1">
      <alignment vertical="top" wrapText="1" readingOrder="1"/>
      <protection locked="0"/>
    </xf>
    <xf numFmtId="0" fontId="4" fillId="0" borderId="166" xfId="0" applyFont="1" applyFill="1" applyBorder="1" applyAlignment="1">
      <alignment horizontal="center" vertical="top" wrapText="1"/>
    </xf>
    <xf numFmtId="0" fontId="3" fillId="0" borderId="293" xfId="0" applyFont="1" applyFill="1" applyBorder="1" applyAlignment="1" applyProtection="1">
      <alignment horizontal="center" vertical="top" wrapText="1" shrinkToFit="1"/>
      <protection locked="0"/>
    </xf>
    <xf numFmtId="14" fontId="3" fillId="0" borderId="290" xfId="0" applyNumberFormat="1" applyFont="1" applyFill="1" applyBorder="1" applyAlignment="1" applyProtection="1">
      <alignment vertical="top" wrapText="1" shrinkToFit="1"/>
      <protection locked="0"/>
    </xf>
    <xf numFmtId="0" fontId="5" fillId="0" borderId="309" xfId="0" applyFont="1" applyFill="1" applyBorder="1" applyAlignment="1" applyProtection="1">
      <alignment vertical="top" wrapText="1" readingOrder="1"/>
      <protection locked="0"/>
    </xf>
    <xf numFmtId="0" fontId="6" fillId="0" borderId="287" xfId="0" applyFont="1" applyFill="1" applyBorder="1" applyAlignment="1" applyProtection="1">
      <alignment horizontal="center" vertical="center" wrapText="1" shrinkToFit="1"/>
      <protection locked="0"/>
    </xf>
    <xf numFmtId="49" fontId="5" fillId="0" borderId="310" xfId="0" applyNumberFormat="1" applyFont="1" applyFill="1" applyBorder="1" applyAlignment="1" applyProtection="1">
      <alignment horizontal="center" vertical="top" wrapText="1" readingOrder="1"/>
      <protection locked="0"/>
    </xf>
    <xf numFmtId="0" fontId="6" fillId="0" borderId="310" xfId="0" applyFont="1" applyFill="1" applyBorder="1" applyAlignment="1" applyProtection="1">
      <alignment horizontal="center" vertical="top" wrapText="1" shrinkToFit="1"/>
      <protection locked="0"/>
    </xf>
    <xf numFmtId="0" fontId="6" fillId="0" borderId="311" xfId="0" applyFont="1" applyFill="1" applyBorder="1" applyAlignment="1" applyProtection="1">
      <alignment horizontal="center" vertical="top" wrapText="1" shrinkToFit="1"/>
      <protection locked="0"/>
    </xf>
    <xf numFmtId="0" fontId="3" fillId="0" borderId="312" xfId="1" applyFont="1" applyFill="1" applyBorder="1" applyAlignment="1">
      <alignment horizontal="center" vertical="top" wrapText="1"/>
    </xf>
    <xf numFmtId="0" fontId="3" fillId="0" borderId="313" xfId="0" applyFont="1" applyFill="1" applyBorder="1" applyAlignment="1" applyProtection="1">
      <alignment horizontal="center" vertical="top" wrapText="1" shrinkToFit="1"/>
      <protection locked="0"/>
    </xf>
    <xf numFmtId="0" fontId="5" fillId="0" borderId="313" xfId="0" applyFont="1" applyFill="1" applyBorder="1" applyAlignment="1" applyProtection="1">
      <alignment horizontal="center" vertical="top" wrapText="1" readingOrder="1"/>
      <protection locked="0"/>
    </xf>
    <xf numFmtId="165" fontId="5" fillId="0" borderId="313" xfId="0" applyNumberFormat="1" applyFont="1" applyFill="1" applyBorder="1" applyAlignment="1" applyProtection="1">
      <alignment vertical="top" wrapText="1" readingOrder="1"/>
      <protection locked="0"/>
    </xf>
    <xf numFmtId="0" fontId="3" fillId="0" borderId="308" xfId="0" applyFont="1" applyFill="1" applyBorder="1" applyAlignment="1" applyProtection="1">
      <alignment vertical="top" wrapText="1" readingOrder="1"/>
      <protection locked="0"/>
    </xf>
    <xf numFmtId="49" fontId="3" fillId="0" borderId="308" xfId="0" applyNumberFormat="1" applyFont="1" applyFill="1" applyBorder="1" applyAlignment="1" applyProtection="1">
      <alignment horizontal="center" vertical="top" wrapText="1" readingOrder="1"/>
      <protection locked="0"/>
    </xf>
    <xf numFmtId="0" fontId="6" fillId="0" borderId="308" xfId="0" applyFont="1" applyFill="1" applyBorder="1" applyAlignment="1" applyProtection="1">
      <alignment horizontal="center" vertical="center" wrapText="1" shrinkToFit="1"/>
      <protection locked="0"/>
    </xf>
    <xf numFmtId="0" fontId="6" fillId="0" borderId="308" xfId="0" applyFont="1" applyFill="1" applyBorder="1" applyAlignment="1" applyProtection="1">
      <alignment vertical="top" wrapText="1" shrinkToFit="1"/>
      <protection locked="0"/>
    </xf>
    <xf numFmtId="0" fontId="6" fillId="0" borderId="308" xfId="0" applyFont="1" applyFill="1" applyBorder="1" applyAlignment="1" applyProtection="1">
      <alignment horizontal="center" vertical="top" wrapText="1" shrinkToFit="1"/>
      <protection locked="0"/>
    </xf>
    <xf numFmtId="14" fontId="6" fillId="0" borderId="281" xfId="0" applyNumberFormat="1" applyFont="1" applyFill="1" applyBorder="1" applyAlignment="1" applyProtection="1">
      <alignment horizontal="center" vertical="top" wrapText="1" shrinkToFit="1"/>
      <protection locked="0"/>
    </xf>
    <xf numFmtId="49" fontId="3" fillId="0" borderId="279" xfId="0" applyNumberFormat="1" applyFont="1" applyFill="1" applyBorder="1" applyAlignment="1" applyProtection="1">
      <alignment horizontal="center" vertical="top" wrapText="1" readingOrder="1"/>
      <protection locked="0"/>
    </xf>
    <xf numFmtId="49" fontId="3" fillId="0" borderId="313" xfId="0" applyNumberFormat="1" applyFont="1" applyFill="1" applyBorder="1" applyAlignment="1" applyProtection="1">
      <alignment horizontal="center" vertical="top" wrapText="1" readingOrder="1"/>
      <protection locked="0"/>
    </xf>
    <xf numFmtId="0" fontId="6" fillId="0" borderId="180" xfId="0" applyFont="1" applyFill="1" applyBorder="1" applyAlignment="1" applyProtection="1">
      <alignment vertical="top" wrapText="1" shrinkToFit="1"/>
      <protection locked="0"/>
    </xf>
    <xf numFmtId="0" fontId="6" fillId="0" borderId="316" xfId="0" applyFont="1" applyFill="1" applyBorder="1" applyAlignment="1" applyProtection="1">
      <alignment horizontal="center" vertical="top" wrapText="1" shrinkToFit="1"/>
      <protection locked="0"/>
    </xf>
    <xf numFmtId="14" fontId="6" fillId="0" borderId="315" xfId="0" applyNumberFormat="1" applyFont="1" applyFill="1" applyBorder="1" applyAlignment="1" applyProtection="1">
      <alignment horizontal="center" vertical="top" wrapText="1" shrinkToFit="1"/>
      <protection locked="0"/>
    </xf>
    <xf numFmtId="165" fontId="3" fillId="0" borderId="313" xfId="0" applyNumberFormat="1" applyFont="1" applyFill="1" applyBorder="1" applyAlignment="1" applyProtection="1">
      <alignment vertical="top" wrapText="1" readingOrder="1"/>
      <protection locked="0"/>
    </xf>
    <xf numFmtId="0" fontId="6" fillId="0" borderId="92" xfId="0" applyFont="1" applyFill="1" applyBorder="1" applyAlignment="1" applyProtection="1">
      <alignment horizontal="center" vertical="top" wrapText="1" shrinkToFit="1" readingOrder="1"/>
      <protection locked="0"/>
    </xf>
    <xf numFmtId="0" fontId="4" fillId="0" borderId="254" xfId="0" applyFont="1" applyFill="1" applyBorder="1" applyAlignment="1" applyProtection="1">
      <alignment horizontal="center" vertical="top" wrapText="1" shrinkToFit="1" readingOrder="1"/>
      <protection locked="0"/>
    </xf>
    <xf numFmtId="0" fontId="6" fillId="0" borderId="299" xfId="0" applyFont="1" applyFill="1" applyBorder="1" applyAlignment="1" applyProtection="1">
      <alignment horizontal="center" vertical="top" wrapText="1" shrinkToFit="1" readingOrder="1"/>
      <protection locked="0"/>
    </xf>
    <xf numFmtId="0" fontId="3" fillId="0" borderId="301" xfId="0" applyFont="1" applyFill="1" applyBorder="1" applyAlignment="1" applyProtection="1">
      <alignment vertical="top" wrapText="1" shrinkToFit="1"/>
      <protection locked="0"/>
    </xf>
    <xf numFmtId="0" fontId="3" fillId="0" borderId="306" xfId="0" applyFont="1" applyFill="1" applyBorder="1" applyAlignment="1" applyProtection="1">
      <alignment vertical="top" wrapText="1" readingOrder="1"/>
      <protection locked="0"/>
    </xf>
    <xf numFmtId="165" fontId="3" fillId="0" borderId="317" xfId="0" applyNumberFormat="1" applyFont="1" applyFill="1" applyBorder="1" applyAlignment="1" applyProtection="1">
      <alignment vertical="top" wrapText="1" readingOrder="1"/>
      <protection locked="0"/>
    </xf>
    <xf numFmtId="0" fontId="6" fillId="0" borderId="290" xfId="1" applyFont="1" applyFill="1" applyBorder="1" applyAlignment="1">
      <alignment horizontal="center" vertical="top" wrapText="1"/>
    </xf>
    <xf numFmtId="165" fontId="3" fillId="0" borderId="267" xfId="0" applyNumberFormat="1" applyFont="1" applyFill="1" applyBorder="1" applyAlignment="1" applyProtection="1">
      <alignment vertical="top" wrapText="1" readingOrder="1"/>
      <protection locked="0"/>
    </xf>
    <xf numFmtId="0" fontId="6" fillId="0" borderId="318" xfId="0" applyFont="1" applyFill="1" applyBorder="1" applyAlignment="1" applyProtection="1">
      <alignment horizontal="center" vertical="top" wrapText="1" shrinkToFit="1"/>
      <protection locked="0"/>
    </xf>
    <xf numFmtId="0" fontId="6" fillId="0" borderId="301" xfId="0" applyFont="1" applyFill="1" applyBorder="1" applyAlignment="1" applyProtection="1">
      <alignment vertical="top" wrapText="1" shrinkToFit="1"/>
      <protection locked="0"/>
    </xf>
    <xf numFmtId="49" fontId="3" fillId="0" borderId="285" xfId="0" applyNumberFormat="1" applyFont="1" applyFill="1" applyBorder="1" applyAlignment="1" applyProtection="1">
      <alignment horizontal="center" vertical="top" wrapText="1" readingOrder="1"/>
      <protection locked="0"/>
    </xf>
    <xf numFmtId="49" fontId="3" fillId="0" borderId="126" xfId="0" applyNumberFormat="1" applyFont="1" applyFill="1" applyBorder="1" applyAlignment="1" applyProtection="1">
      <alignment horizontal="center" vertical="top" wrapText="1" readingOrder="1"/>
      <protection locked="0"/>
    </xf>
    <xf numFmtId="165" fontId="3" fillId="0" borderId="126" xfId="0" applyNumberFormat="1" applyFont="1" applyFill="1" applyBorder="1" applyAlignment="1" applyProtection="1">
      <alignment vertical="top" wrapText="1" readingOrder="1"/>
      <protection locked="0"/>
    </xf>
    <xf numFmtId="165" fontId="3" fillId="0" borderId="319" xfId="0" applyNumberFormat="1" applyFont="1" applyFill="1" applyBorder="1" applyAlignment="1" applyProtection="1">
      <alignment horizontal="right" vertical="top" wrapText="1" readingOrder="1"/>
      <protection locked="0"/>
    </xf>
    <xf numFmtId="165" fontId="3" fillId="0" borderId="322" xfId="0" applyNumberFormat="1" applyFont="1" applyFill="1" applyBorder="1" applyAlignment="1" applyProtection="1">
      <alignment vertical="top" wrapText="1" readingOrder="1"/>
      <protection locked="0"/>
    </xf>
    <xf numFmtId="165" fontId="3" fillId="0" borderId="307" xfId="0" applyNumberFormat="1" applyFont="1" applyFill="1" applyBorder="1" applyAlignment="1" applyProtection="1">
      <alignment vertical="top" wrapText="1" readingOrder="1"/>
      <protection locked="0"/>
    </xf>
    <xf numFmtId="0" fontId="3" fillId="0" borderId="308" xfId="0" applyFont="1" applyFill="1" applyBorder="1" applyAlignment="1" applyProtection="1">
      <alignment horizontal="center" vertical="top" wrapText="1" shrinkToFit="1"/>
      <protection locked="0"/>
    </xf>
    <xf numFmtId="0" fontId="3" fillId="0" borderId="114" xfId="0" applyFont="1" applyFill="1" applyBorder="1" applyAlignment="1" applyProtection="1">
      <alignment horizontal="center" vertical="top" wrapText="1" readingOrder="1"/>
      <protection locked="0"/>
    </xf>
    <xf numFmtId="14" fontId="3" fillId="0" borderId="316" xfId="0" applyNumberFormat="1" applyFont="1" applyFill="1" applyBorder="1" applyAlignment="1" applyProtection="1">
      <alignment horizontal="center" vertical="top" wrapText="1" shrinkToFit="1"/>
      <protection locked="0"/>
    </xf>
    <xf numFmtId="0" fontId="5" fillId="0" borderId="301" xfId="0" applyFont="1" applyFill="1" applyBorder="1" applyAlignment="1" applyProtection="1">
      <alignment vertical="top" wrapText="1" readingOrder="1"/>
      <protection locked="0"/>
    </xf>
    <xf numFmtId="0" fontId="3" fillId="0" borderId="323" xfId="0" applyFont="1" applyFill="1" applyBorder="1" applyAlignment="1" applyProtection="1">
      <alignment vertical="top" wrapText="1" readingOrder="1"/>
      <protection locked="0"/>
    </xf>
    <xf numFmtId="0" fontId="3" fillId="0" borderId="287" xfId="0" applyFont="1" applyFill="1" applyBorder="1" applyAlignment="1" applyProtection="1">
      <alignment horizontal="center" vertical="center" wrapText="1" shrinkToFit="1"/>
      <protection locked="0"/>
    </xf>
    <xf numFmtId="14" fontId="3" fillId="0" borderId="287" xfId="0" applyNumberFormat="1" applyFont="1" applyFill="1" applyBorder="1" applyAlignment="1" applyProtection="1">
      <alignment horizontal="center" vertical="center" wrapText="1" shrinkToFit="1"/>
      <protection locked="0"/>
    </xf>
    <xf numFmtId="0" fontId="5" fillId="0" borderId="316" xfId="0" applyFont="1" applyFill="1" applyBorder="1" applyAlignment="1" applyProtection="1">
      <alignment vertical="top" wrapText="1" readingOrder="1"/>
      <protection locked="0"/>
    </xf>
    <xf numFmtId="49" fontId="5" fillId="0" borderId="316" xfId="0" applyNumberFormat="1" applyFont="1" applyFill="1" applyBorder="1" applyAlignment="1" applyProtection="1">
      <alignment horizontal="center" vertical="top" wrapText="1" readingOrder="1"/>
      <protection locked="0"/>
    </xf>
    <xf numFmtId="0" fontId="20" fillId="0" borderId="316" xfId="0" applyFont="1" applyFill="1" applyBorder="1" applyAlignment="1">
      <alignment horizontal="center" vertical="top" wrapText="1"/>
    </xf>
    <xf numFmtId="165" fontId="5" fillId="0" borderId="316" xfId="0" applyNumberFormat="1" applyFont="1" applyFill="1" applyBorder="1" applyAlignment="1" applyProtection="1">
      <alignment vertical="top" wrapText="1" readingOrder="1"/>
      <protection locked="0"/>
    </xf>
    <xf numFmtId="0" fontId="5" fillId="0" borderId="306" xfId="0" applyFont="1" applyFill="1" applyBorder="1" applyAlignment="1" applyProtection="1">
      <alignment horizontal="center" vertical="top" wrapText="1" readingOrder="1"/>
      <protection locked="0"/>
    </xf>
    <xf numFmtId="14" fontId="4" fillId="0" borderId="306" xfId="0" applyNumberFormat="1" applyFont="1" applyFill="1" applyBorder="1" applyAlignment="1">
      <alignment horizontal="center" vertical="top" wrapText="1"/>
    </xf>
    <xf numFmtId="0" fontId="3" fillId="0" borderId="316" xfId="0" applyFont="1" applyFill="1" applyBorder="1" applyAlignment="1" applyProtection="1">
      <alignment vertical="top" wrapText="1" readingOrder="1"/>
      <protection locked="0"/>
    </xf>
    <xf numFmtId="49" fontId="3" fillId="0" borderId="316" xfId="0" applyNumberFormat="1" applyFont="1" applyFill="1" applyBorder="1" applyAlignment="1" applyProtection="1">
      <alignment horizontal="center" vertical="top" wrapText="1" readingOrder="1"/>
      <protection locked="0"/>
    </xf>
    <xf numFmtId="165" fontId="3" fillId="0" borderId="316" xfId="0" applyNumberFormat="1" applyFont="1" applyFill="1" applyBorder="1" applyAlignment="1" applyProtection="1">
      <alignment vertical="top" wrapText="1" readingOrder="1"/>
      <protection locked="0"/>
    </xf>
    <xf numFmtId="0" fontId="5" fillId="0" borderId="180" xfId="0" applyFont="1" applyFill="1" applyBorder="1" applyAlignment="1" applyProtection="1">
      <alignment horizontal="center" vertical="top" wrapText="1" readingOrder="1"/>
      <protection locked="0"/>
    </xf>
    <xf numFmtId="0" fontId="3" fillId="0" borderId="180" xfId="0" applyFont="1" applyFill="1" applyBorder="1" applyAlignment="1" applyProtection="1">
      <alignment vertical="top" wrapText="1" readingOrder="1"/>
      <protection locked="0"/>
    </xf>
    <xf numFmtId="165" fontId="3" fillId="0" borderId="294" xfId="0" applyNumberFormat="1" applyFont="1" applyFill="1" applyBorder="1" applyAlignment="1" applyProtection="1">
      <alignment vertical="top" wrapText="1" readingOrder="1"/>
      <protection locked="0"/>
    </xf>
    <xf numFmtId="165" fontId="3" fillId="0" borderId="323" xfId="0" applyNumberFormat="1" applyFont="1" applyFill="1" applyBorder="1" applyAlignment="1" applyProtection="1">
      <alignment vertical="top" wrapText="1" readingOrder="1"/>
      <protection locked="0"/>
    </xf>
    <xf numFmtId="0" fontId="3" fillId="0" borderId="317" xfId="0" applyFont="1" applyFill="1" applyBorder="1" applyAlignment="1" applyProtection="1">
      <alignment vertical="top" wrapText="1" readingOrder="1"/>
      <protection locked="0"/>
    </xf>
    <xf numFmtId="0" fontId="3" fillId="0" borderId="324" xfId="0" applyFont="1" applyFill="1" applyBorder="1" applyAlignment="1" applyProtection="1">
      <alignment vertical="top" wrapText="1" readingOrder="1"/>
      <protection locked="0"/>
    </xf>
    <xf numFmtId="49" fontId="3" fillId="0" borderId="324" xfId="0" applyNumberFormat="1" applyFont="1" applyFill="1" applyBorder="1" applyAlignment="1" applyProtection="1">
      <alignment horizontal="center" vertical="top" wrapText="1" readingOrder="1"/>
      <protection locked="0"/>
    </xf>
    <xf numFmtId="0" fontId="3" fillId="0" borderId="325" xfId="0" applyFont="1" applyFill="1" applyBorder="1" applyAlignment="1">
      <alignment horizontal="center" vertical="top" wrapText="1"/>
    </xf>
    <xf numFmtId="0" fontId="3" fillId="0" borderId="326" xfId="0" applyFont="1" applyFill="1" applyBorder="1" applyAlignment="1">
      <alignment horizontal="center" vertical="top" wrapText="1"/>
    </xf>
    <xf numFmtId="0" fontId="3" fillId="0" borderId="327" xfId="0" applyFont="1" applyFill="1" applyBorder="1" applyAlignment="1">
      <alignment horizontal="center" vertical="top" wrapText="1"/>
    </xf>
    <xf numFmtId="0" fontId="3" fillId="0" borderId="316" xfId="1" applyFont="1" applyFill="1" applyBorder="1" applyAlignment="1">
      <alignment horizontal="center" vertical="center" wrapText="1"/>
    </xf>
    <xf numFmtId="0" fontId="3" fillId="0" borderId="291" xfId="0" applyFont="1" applyFill="1" applyBorder="1" applyAlignment="1" applyProtection="1">
      <alignment horizontal="center" vertical="top" wrapText="1" shrinkToFit="1"/>
      <protection locked="0"/>
    </xf>
    <xf numFmtId="0" fontId="12" fillId="0" borderId="95" xfId="0" applyFont="1" applyFill="1" applyBorder="1" applyAlignment="1" applyProtection="1">
      <alignment vertical="top" wrapText="1" readingOrder="1"/>
      <protection locked="0"/>
    </xf>
    <xf numFmtId="165" fontId="5" fillId="0" borderId="301" xfId="0" applyNumberFormat="1" applyFont="1" applyFill="1" applyBorder="1" applyAlignment="1" applyProtection="1">
      <alignment vertical="top" wrapText="1" readingOrder="1"/>
      <protection locked="0"/>
    </xf>
    <xf numFmtId="0" fontId="5" fillId="0" borderId="301" xfId="0" applyFont="1" applyFill="1" applyBorder="1" applyAlignment="1" applyProtection="1">
      <alignment horizontal="center" vertical="top" wrapText="1" readingOrder="1"/>
      <protection locked="0"/>
    </xf>
    <xf numFmtId="0" fontId="13" fillId="0" borderId="95" xfId="0" applyFont="1" applyFill="1" applyBorder="1" applyAlignment="1">
      <alignment vertical="top" wrapText="1"/>
    </xf>
    <xf numFmtId="0" fontId="3" fillId="0" borderId="277" xfId="0" applyFont="1" applyFill="1" applyBorder="1" applyAlignment="1" applyProtection="1">
      <alignment vertical="top" wrapText="1" readingOrder="1"/>
      <protection locked="0"/>
    </xf>
    <xf numFmtId="0" fontId="3" fillId="0" borderId="278" xfId="0" applyFont="1" applyFill="1" applyBorder="1" applyAlignment="1" applyProtection="1">
      <alignment vertical="center" wrapText="1" shrinkToFit="1"/>
      <protection locked="0"/>
    </xf>
    <xf numFmtId="0" fontId="3" fillId="0" borderId="279" xfId="0" applyFont="1" applyFill="1" applyBorder="1" applyAlignment="1" applyProtection="1">
      <alignment horizontal="center" vertical="top" wrapText="1" shrinkToFit="1"/>
      <protection locked="0"/>
    </xf>
    <xf numFmtId="14" fontId="3" fillId="0" borderId="279" xfId="0" applyNumberFormat="1" applyFont="1" applyFill="1" applyBorder="1" applyAlignment="1" applyProtection="1">
      <alignment horizontal="center" vertical="top" wrapText="1" shrinkToFit="1"/>
      <protection locked="0"/>
    </xf>
    <xf numFmtId="0" fontId="3" fillId="0" borderId="287" xfId="0" applyFont="1" applyFill="1" applyBorder="1" applyAlignment="1" applyProtection="1">
      <alignment vertical="top" wrapText="1" shrinkToFit="1"/>
      <protection locked="0"/>
    </xf>
    <xf numFmtId="49" fontId="3" fillId="0" borderId="323" xfId="0" applyNumberFormat="1" applyFont="1" applyFill="1" applyBorder="1" applyAlignment="1" applyProtection="1">
      <alignment horizontal="center" vertical="top" wrapText="1" readingOrder="1"/>
      <protection locked="0"/>
    </xf>
    <xf numFmtId="0" fontId="3" fillId="0" borderId="265" xfId="0" applyFont="1" applyFill="1" applyBorder="1" applyAlignment="1" applyProtection="1">
      <alignment horizontal="center" vertical="center" wrapText="1" shrinkToFit="1"/>
      <protection locked="0"/>
    </xf>
    <xf numFmtId="0" fontId="12" fillId="0" borderId="313" xfId="0" applyFont="1" applyFill="1" applyBorder="1" applyAlignment="1" applyProtection="1">
      <alignment vertical="top" wrapText="1" readingOrder="1"/>
      <protection locked="0"/>
    </xf>
    <xf numFmtId="0" fontId="5" fillId="0" borderId="323" xfId="0" applyFont="1" applyFill="1" applyBorder="1" applyAlignment="1" applyProtection="1">
      <alignment horizontal="center" vertical="top" wrapText="1" readingOrder="1"/>
      <protection locked="0"/>
    </xf>
    <xf numFmtId="0" fontId="5" fillId="0" borderId="323" xfId="0" applyFont="1" applyFill="1" applyBorder="1" applyAlignment="1" applyProtection="1">
      <alignment vertical="top" wrapText="1" readingOrder="1"/>
      <protection locked="0"/>
    </xf>
    <xf numFmtId="165" fontId="5" fillId="0" borderId="323" xfId="0" applyNumberFormat="1" applyFont="1" applyFill="1" applyBorder="1" applyAlignment="1" applyProtection="1">
      <alignment vertical="top" wrapText="1" readingOrder="1"/>
      <protection locked="0"/>
    </xf>
    <xf numFmtId="0" fontId="3" fillId="0" borderId="310" xfId="0" applyFont="1" applyFill="1" applyBorder="1" applyAlignment="1" applyProtection="1">
      <alignment horizontal="center" vertical="top" wrapText="1" readingOrder="1"/>
      <protection locked="0"/>
    </xf>
    <xf numFmtId="0" fontId="3" fillId="0" borderId="288" xfId="0" applyFont="1" applyFill="1" applyBorder="1" applyAlignment="1" applyProtection="1">
      <alignment horizontal="center" vertical="top" wrapText="1" shrinkToFit="1"/>
      <protection locked="0"/>
    </xf>
    <xf numFmtId="0" fontId="3" fillId="0" borderId="282" xfId="0" applyFont="1" applyFill="1" applyBorder="1" applyAlignment="1" applyProtection="1">
      <alignment horizontal="center" vertical="top" wrapText="1" readingOrder="1"/>
      <protection locked="0"/>
    </xf>
    <xf numFmtId="0" fontId="3" fillId="0" borderId="261" xfId="0" applyFont="1" applyFill="1" applyBorder="1" applyAlignment="1" applyProtection="1">
      <alignment horizontal="center" vertical="top" wrapText="1" readingOrder="1"/>
      <protection locked="0"/>
    </xf>
    <xf numFmtId="0" fontId="3" fillId="0" borderId="323" xfId="0" applyFont="1" applyFill="1" applyBorder="1" applyAlignment="1" applyProtection="1">
      <alignment horizontal="center" vertical="center" wrapText="1" shrinkToFit="1"/>
      <protection locked="0"/>
    </xf>
    <xf numFmtId="0" fontId="3" fillId="0" borderId="303" xfId="0" applyFont="1" applyFill="1" applyBorder="1" applyAlignment="1" applyProtection="1">
      <alignment horizontal="center" vertical="top" wrapText="1" readingOrder="1"/>
      <protection locked="0"/>
    </xf>
    <xf numFmtId="0" fontId="4" fillId="0" borderId="193" xfId="0" applyFont="1" applyFill="1" applyBorder="1" applyAlignment="1">
      <alignment horizontal="center" vertical="top" wrapText="1"/>
    </xf>
    <xf numFmtId="0" fontId="13" fillId="0" borderId="56" xfId="0" applyFont="1" applyFill="1" applyBorder="1" applyAlignment="1">
      <alignment vertical="top" wrapText="1"/>
    </xf>
    <xf numFmtId="0" fontId="13" fillId="0" borderId="306" xfId="0" applyFont="1" applyFill="1" applyBorder="1" applyAlignment="1">
      <alignment vertical="top" wrapText="1"/>
    </xf>
    <xf numFmtId="0" fontId="3" fillId="0" borderId="296" xfId="0" applyFont="1" applyFill="1" applyBorder="1" applyAlignment="1" applyProtection="1">
      <alignment vertical="top" wrapText="1" readingOrder="1"/>
      <protection locked="0"/>
    </xf>
    <xf numFmtId="0" fontId="3" fillId="0" borderId="329" xfId="0" applyFont="1" applyFill="1" applyBorder="1" applyAlignment="1" applyProtection="1">
      <alignment horizontal="center" vertical="top" wrapText="1" shrinkToFit="1"/>
      <protection locked="0"/>
    </xf>
    <xf numFmtId="0" fontId="3" fillId="0" borderId="287" xfId="0" applyFont="1" applyFill="1" applyBorder="1" applyAlignment="1" applyProtection="1">
      <alignment horizontal="left" vertical="top" wrapText="1" readingOrder="1"/>
      <protection locked="0"/>
    </xf>
    <xf numFmtId="0" fontId="3" fillId="0" borderId="329" xfId="0" applyFont="1" applyFill="1" applyBorder="1" applyAlignment="1" applyProtection="1">
      <alignment vertical="top" wrapText="1" readingOrder="1"/>
      <protection locked="0"/>
    </xf>
    <xf numFmtId="0" fontId="12" fillId="0" borderId="0" xfId="0" applyFont="1" applyFill="1" applyAlignment="1" applyProtection="1">
      <alignment horizontal="left" vertical="top" wrapText="1" readingOrder="1"/>
      <protection locked="0"/>
    </xf>
    <xf numFmtId="0" fontId="6" fillId="0" borderId="180" xfId="0" applyFont="1" applyFill="1" applyBorder="1" applyAlignment="1" applyProtection="1">
      <alignment horizontal="center" vertical="top" wrapText="1" shrinkToFit="1"/>
      <protection locked="0"/>
    </xf>
    <xf numFmtId="0" fontId="5" fillId="0" borderId="267" xfId="0" applyFont="1" applyFill="1" applyBorder="1" applyAlignment="1" applyProtection="1">
      <alignment horizontal="left" vertical="top" wrapText="1" readingOrder="1"/>
      <protection locked="0"/>
    </xf>
    <xf numFmtId="0" fontId="3" fillId="0" borderId="289" xfId="0" applyFont="1" applyFill="1" applyBorder="1" applyAlignment="1" applyProtection="1">
      <alignment horizontal="center" vertical="top" wrapText="1" readingOrder="1"/>
      <protection locked="0"/>
    </xf>
    <xf numFmtId="0" fontId="5" fillId="0" borderId="287" xfId="0" applyFont="1" applyFill="1" applyBorder="1" applyAlignment="1" applyProtection="1">
      <alignment horizontal="center" vertical="top" wrapText="1" readingOrder="1"/>
      <protection locked="0"/>
    </xf>
    <xf numFmtId="0" fontId="6" fillId="0" borderId="316" xfId="0" applyFont="1" applyFill="1" applyBorder="1" applyAlignment="1" applyProtection="1">
      <alignment horizontal="center" vertical="center" wrapText="1" shrinkToFit="1"/>
      <protection locked="0"/>
    </xf>
    <xf numFmtId="0" fontId="3" fillId="0" borderId="316" xfId="0" applyFont="1" applyFill="1" applyBorder="1" applyAlignment="1" applyProtection="1">
      <alignment horizontal="left" vertical="top" wrapText="1" readingOrder="1"/>
      <protection locked="0"/>
    </xf>
    <xf numFmtId="0" fontId="3" fillId="0" borderId="316" xfId="1" applyFont="1" applyFill="1" applyBorder="1" applyAlignment="1">
      <alignment horizontal="center" vertical="top" wrapText="1"/>
    </xf>
    <xf numFmtId="0" fontId="3" fillId="0" borderId="287" xfId="1" applyFont="1" applyFill="1" applyBorder="1" applyAlignment="1">
      <alignment horizontal="center" vertical="top" wrapText="1"/>
    </xf>
    <xf numFmtId="0" fontId="3" fillId="0" borderId="330" xfId="0" applyFont="1" applyFill="1" applyBorder="1" applyAlignment="1" applyProtection="1">
      <alignment vertical="top" wrapText="1" readingOrder="1"/>
      <protection locked="0"/>
    </xf>
    <xf numFmtId="0" fontId="6" fillId="0" borderId="330" xfId="0" applyFont="1" applyFill="1" applyBorder="1" applyAlignment="1" applyProtection="1">
      <alignment vertical="top" wrapText="1" shrinkToFit="1"/>
      <protection locked="0"/>
    </xf>
    <xf numFmtId="0" fontId="3" fillId="0" borderId="111" xfId="0" applyFont="1" applyFill="1" applyBorder="1" applyAlignment="1" applyProtection="1">
      <alignment horizontal="center" vertical="top" wrapText="1" readingOrder="1"/>
      <protection locked="0"/>
    </xf>
    <xf numFmtId="0" fontId="12" fillId="0" borderId="197" xfId="0" applyFont="1" applyFill="1" applyBorder="1" applyAlignment="1" applyProtection="1">
      <alignment vertical="top" wrapText="1" readingOrder="1"/>
      <protection locked="0"/>
    </xf>
    <xf numFmtId="0" fontId="12" fillId="0" borderId="267" xfId="0" applyFont="1" applyFill="1" applyBorder="1" applyAlignment="1" applyProtection="1">
      <alignment vertical="top" wrapText="1" readingOrder="1"/>
      <protection locked="0"/>
    </xf>
    <xf numFmtId="0" fontId="3" fillId="0" borderId="311" xfId="0" applyFont="1" applyFill="1" applyBorder="1" applyAlignment="1" applyProtection="1">
      <alignment vertical="top" wrapText="1" readingOrder="1"/>
      <protection locked="0"/>
    </xf>
    <xf numFmtId="0" fontId="4" fillId="0" borderId="328" xfId="0" applyFont="1" applyFill="1" applyBorder="1" applyAlignment="1" applyProtection="1">
      <alignment horizontal="center" vertical="top" wrapText="1" shrinkToFit="1"/>
      <protection locked="0"/>
    </xf>
    <xf numFmtId="49" fontId="5" fillId="0" borderId="308" xfId="0" applyNumberFormat="1" applyFont="1" applyFill="1" applyBorder="1" applyAlignment="1" applyProtection="1">
      <alignment horizontal="center" vertical="top" wrapText="1" readingOrder="1"/>
      <protection locked="0"/>
    </xf>
    <xf numFmtId="14" fontId="3" fillId="0" borderId="308" xfId="0" applyNumberFormat="1" applyFont="1" applyFill="1" applyBorder="1" applyAlignment="1" applyProtection="1">
      <alignment horizontal="center" vertical="top" wrapText="1" shrinkToFit="1"/>
      <protection locked="0"/>
    </xf>
    <xf numFmtId="165" fontId="5" fillId="0" borderId="308" xfId="0" applyNumberFormat="1" applyFont="1" applyFill="1" applyBorder="1" applyAlignment="1" applyProtection="1">
      <alignment vertical="top" wrapText="1" readingOrder="1"/>
      <protection locked="0"/>
    </xf>
    <xf numFmtId="49" fontId="5" fillId="0" borderId="301" xfId="0" applyNumberFormat="1" applyFont="1" applyFill="1" applyBorder="1" applyAlignment="1" applyProtection="1">
      <alignment horizontal="center" vertical="top" wrapText="1" readingOrder="1"/>
      <protection locked="0"/>
    </xf>
    <xf numFmtId="49" fontId="5" fillId="0" borderId="328" xfId="0" applyNumberFormat="1" applyFont="1" applyFill="1" applyBorder="1" applyAlignment="1" applyProtection="1">
      <alignment horizontal="center" vertical="top" wrapText="1" readingOrder="1"/>
      <protection locked="0"/>
    </xf>
    <xf numFmtId="0" fontId="6" fillId="0" borderId="328" xfId="0" applyFont="1" applyFill="1" applyBorder="1" applyAlignment="1" applyProtection="1">
      <alignment horizontal="center" vertical="top" wrapText="1" shrinkToFit="1"/>
      <protection locked="0"/>
    </xf>
    <xf numFmtId="14" fontId="3" fillId="0" borderId="328" xfId="0" applyNumberFormat="1" applyFont="1" applyFill="1" applyBorder="1" applyAlignment="1" applyProtection="1">
      <alignment horizontal="center" vertical="top" wrapText="1" shrinkToFit="1"/>
      <protection locked="0"/>
    </xf>
    <xf numFmtId="165" fontId="5" fillId="0" borderId="328" xfId="0" applyNumberFormat="1" applyFont="1" applyFill="1" applyBorder="1" applyAlignment="1" applyProtection="1">
      <alignment vertical="top" wrapText="1" readingOrder="1"/>
      <protection locked="0"/>
    </xf>
    <xf numFmtId="0" fontId="3" fillId="0" borderId="269" xfId="0" applyFont="1" applyFill="1" applyBorder="1" applyAlignment="1">
      <alignment horizontal="center" vertical="top" wrapText="1"/>
    </xf>
    <xf numFmtId="14" fontId="6" fillId="0" borderId="323" xfId="0" applyNumberFormat="1" applyFont="1" applyFill="1" applyBorder="1" applyAlignment="1" applyProtection="1">
      <alignment horizontal="center" vertical="top" wrapText="1" shrinkToFit="1"/>
      <protection locked="0"/>
    </xf>
    <xf numFmtId="0" fontId="4" fillId="0" borderId="257" xfId="0" applyFont="1" applyFill="1" applyBorder="1" applyAlignment="1" applyProtection="1">
      <alignment horizontal="center" vertical="top" wrapText="1" shrinkToFit="1"/>
      <protection locked="0"/>
    </xf>
    <xf numFmtId="0" fontId="6" fillId="0" borderId="257" xfId="0" applyFont="1" applyFill="1" applyBorder="1" applyAlignment="1" applyProtection="1">
      <alignment horizontal="center" vertical="top" wrapText="1" shrinkToFit="1"/>
      <protection locked="0"/>
    </xf>
    <xf numFmtId="0" fontId="6" fillId="0" borderId="313" xfId="0" applyFont="1" applyFill="1" applyBorder="1" applyAlignment="1" applyProtection="1">
      <alignment horizontal="center" vertical="top" wrapText="1" shrinkToFit="1"/>
      <protection locked="0"/>
    </xf>
    <xf numFmtId="0" fontId="12" fillId="0" borderId="301" xfId="0" applyFont="1" applyFill="1" applyBorder="1" applyAlignment="1" applyProtection="1">
      <alignment vertical="top" wrapText="1" readingOrder="1"/>
      <protection locked="0"/>
    </xf>
    <xf numFmtId="0" fontId="3" fillId="0" borderId="332" xfId="0" applyFont="1" applyFill="1" applyBorder="1" applyAlignment="1" applyProtection="1">
      <alignment horizontal="center" vertical="top" wrapText="1" shrinkToFit="1"/>
      <protection locked="0"/>
    </xf>
    <xf numFmtId="0" fontId="3" fillId="0" borderId="333" xfId="0" applyFont="1" applyFill="1" applyBorder="1" applyAlignment="1" applyProtection="1">
      <alignment horizontal="center" vertical="top" wrapText="1" shrinkToFit="1"/>
      <protection locked="0"/>
    </xf>
    <xf numFmtId="0" fontId="3" fillId="0" borderId="334" xfId="0" applyFont="1" applyFill="1" applyBorder="1" applyAlignment="1" applyProtection="1">
      <alignment horizontal="center" vertical="top" wrapText="1" shrinkToFit="1"/>
      <protection locked="0"/>
    </xf>
    <xf numFmtId="49" fontId="5" fillId="0" borderId="335" xfId="0" applyNumberFormat="1" applyFont="1" applyFill="1" applyBorder="1" applyAlignment="1" applyProtection="1">
      <alignment horizontal="center" vertical="top" wrapText="1" readingOrder="1"/>
      <protection locked="0"/>
    </xf>
    <xf numFmtId="165" fontId="5" fillId="0" borderId="335" xfId="0" applyNumberFormat="1" applyFont="1" applyFill="1" applyBorder="1" applyAlignment="1" applyProtection="1">
      <alignment vertical="top" wrapText="1" readingOrder="1"/>
      <protection locked="0"/>
    </xf>
    <xf numFmtId="0" fontId="4" fillId="0" borderId="309" xfId="0" applyFont="1" applyFill="1" applyBorder="1" applyAlignment="1">
      <alignment horizontal="center" vertical="top" wrapText="1"/>
    </xf>
    <xf numFmtId="49" fontId="3" fillId="0" borderId="231" xfId="0" applyNumberFormat="1" applyFont="1" applyFill="1" applyBorder="1" applyAlignment="1" applyProtection="1">
      <alignment horizontal="center" vertical="top" wrapText="1" readingOrder="1"/>
      <protection locked="0"/>
    </xf>
    <xf numFmtId="0" fontId="3" fillId="0" borderId="231" xfId="0" applyFont="1" applyFill="1" applyBorder="1" applyAlignment="1" applyProtection="1">
      <alignment vertical="top" wrapText="1" readingOrder="1"/>
      <protection locked="0"/>
    </xf>
    <xf numFmtId="165" fontId="3" fillId="0" borderId="231" xfId="0" applyNumberFormat="1" applyFont="1" applyFill="1" applyBorder="1" applyAlignment="1" applyProtection="1">
      <alignment vertical="top" wrapText="1" readingOrder="1"/>
      <protection locked="0"/>
    </xf>
    <xf numFmtId="0" fontId="12" fillId="0" borderId="328" xfId="0" applyFont="1" applyFill="1" applyBorder="1" applyAlignment="1" applyProtection="1">
      <alignment horizontal="left" vertical="top" wrapText="1" readingOrder="1"/>
      <protection locked="0"/>
    </xf>
    <xf numFmtId="0" fontId="3" fillId="0" borderId="335" xfId="0" applyFont="1" applyFill="1" applyBorder="1" applyAlignment="1" applyProtection="1">
      <alignment horizontal="center" vertical="top" wrapText="1" readingOrder="1"/>
      <protection locked="0"/>
    </xf>
    <xf numFmtId="49" fontId="3" fillId="0" borderId="335" xfId="0" applyNumberFormat="1" applyFont="1" applyFill="1" applyBorder="1" applyAlignment="1" applyProtection="1">
      <alignment horizontal="center" vertical="top" wrapText="1" readingOrder="1"/>
      <protection locked="0"/>
    </xf>
    <xf numFmtId="0" fontId="3" fillId="0" borderId="335" xfId="0" applyFont="1" applyFill="1" applyBorder="1" applyAlignment="1">
      <alignment horizontal="center" vertical="top" wrapText="1"/>
    </xf>
    <xf numFmtId="0" fontId="3" fillId="0" borderId="335" xfId="0" applyFont="1" applyFill="1" applyBorder="1" applyAlignment="1" applyProtection="1">
      <alignment horizontal="center" vertical="top" wrapText="1" shrinkToFit="1"/>
      <protection locked="0"/>
    </xf>
    <xf numFmtId="14" fontId="3" fillId="0" borderId="335" xfId="0" applyNumberFormat="1" applyFont="1" applyFill="1" applyBorder="1" applyAlignment="1" applyProtection="1">
      <alignment horizontal="center" vertical="top" wrapText="1" shrinkToFit="1"/>
      <protection locked="0"/>
    </xf>
    <xf numFmtId="0" fontId="3" fillId="0" borderId="335" xfId="0" applyFont="1" applyFill="1" applyBorder="1" applyAlignment="1" applyProtection="1">
      <alignment vertical="top" wrapText="1" readingOrder="1"/>
      <protection locked="0"/>
    </xf>
    <xf numFmtId="165" fontId="3" fillId="0" borderId="335" xfId="0" applyNumberFormat="1" applyFont="1" applyFill="1" applyBorder="1" applyAlignment="1" applyProtection="1">
      <alignment vertical="top" wrapText="1" readingOrder="1"/>
      <protection locked="0"/>
    </xf>
    <xf numFmtId="0" fontId="5" fillId="0" borderId="306" xfId="0" applyFont="1" applyFill="1" applyBorder="1" applyAlignment="1" applyProtection="1">
      <alignment vertical="top" wrapText="1" readingOrder="1"/>
      <protection locked="0"/>
    </xf>
    <xf numFmtId="0" fontId="5" fillId="0" borderId="231" xfId="0" applyFont="1" applyFill="1" applyBorder="1" applyAlignment="1" applyProtection="1">
      <alignment vertical="top" wrapText="1" readingOrder="1"/>
      <protection locked="0"/>
    </xf>
    <xf numFmtId="0" fontId="5" fillId="0" borderId="335" xfId="0" applyFont="1" applyFill="1" applyBorder="1" applyAlignment="1" applyProtection="1">
      <alignment horizontal="center" vertical="top" wrapText="1" readingOrder="1"/>
      <protection locked="0"/>
    </xf>
    <xf numFmtId="165" fontId="3" fillId="0" borderId="281" xfId="0" applyNumberFormat="1" applyFont="1" applyFill="1" applyBorder="1" applyAlignment="1" applyProtection="1">
      <alignment vertical="top" wrapText="1" readingOrder="1"/>
      <protection locked="0"/>
    </xf>
    <xf numFmtId="165" fontId="3" fillId="0" borderId="244" xfId="0" applyNumberFormat="1" applyFont="1" applyFill="1" applyBorder="1" applyAlignment="1" applyProtection="1">
      <alignment vertical="top" wrapText="1" readingOrder="1"/>
      <protection locked="0"/>
    </xf>
    <xf numFmtId="0" fontId="3" fillId="0" borderId="174" xfId="0" applyFont="1" applyFill="1" applyBorder="1" applyAlignment="1" applyProtection="1">
      <alignment horizontal="left" vertical="top" wrapText="1" readingOrder="1"/>
      <protection locked="0"/>
    </xf>
    <xf numFmtId="0" fontId="6" fillId="0" borderId="323" xfId="0" applyFont="1" applyFill="1" applyBorder="1" applyAlignment="1" applyProtection="1">
      <alignment horizontal="center" vertical="top" wrapText="1" shrinkToFit="1"/>
      <protection locked="0"/>
    </xf>
    <xf numFmtId="0" fontId="3" fillId="0" borderId="323" xfId="0" applyFont="1" applyFill="1" applyBorder="1" applyAlignment="1" applyProtection="1">
      <alignment horizontal="center" vertical="top" wrapText="1" shrinkToFit="1"/>
      <protection locked="0"/>
    </xf>
    <xf numFmtId="0" fontId="6" fillId="0" borderId="174" xfId="0" applyFont="1" applyFill="1" applyBorder="1" applyAlignment="1" applyProtection="1">
      <alignment horizontal="center" vertical="top" wrapText="1" shrinkToFit="1"/>
      <protection locked="0"/>
    </xf>
    <xf numFmtId="0" fontId="6" fillId="0" borderId="206" xfId="0" applyFont="1" applyFill="1" applyBorder="1" applyAlignment="1" applyProtection="1">
      <alignment horizontal="center" vertical="top" wrapText="1" shrinkToFit="1"/>
      <protection locked="0"/>
    </xf>
    <xf numFmtId="0" fontId="3" fillId="0" borderId="174" xfId="0" applyFont="1" applyFill="1" applyBorder="1" applyAlignment="1" applyProtection="1">
      <alignment horizontal="center" vertical="top" wrapText="1" readingOrder="1"/>
      <protection locked="0"/>
    </xf>
    <xf numFmtId="0" fontId="3" fillId="0" borderId="174" xfId="0" applyFont="1" applyFill="1" applyBorder="1" applyAlignment="1" applyProtection="1">
      <alignment horizontal="center" vertical="top" wrapText="1" shrinkToFit="1"/>
      <protection locked="0"/>
    </xf>
    <xf numFmtId="0" fontId="3" fillId="0" borderId="287" xfId="0" applyFont="1" applyFill="1" applyBorder="1" applyAlignment="1" applyProtection="1">
      <alignment horizontal="center" vertical="top" wrapText="1" shrinkToFit="1"/>
      <protection locked="0"/>
    </xf>
    <xf numFmtId="14" fontId="3" fillId="0" borderId="287" xfId="0" applyNumberFormat="1" applyFont="1" applyFill="1" applyBorder="1" applyAlignment="1" applyProtection="1">
      <alignment horizontal="center" vertical="top" wrapText="1" shrinkToFit="1"/>
      <protection locked="0"/>
    </xf>
    <xf numFmtId="0" fontId="3" fillId="0" borderId="253" xfId="0" applyFont="1" applyFill="1" applyBorder="1" applyAlignment="1" applyProtection="1">
      <alignment horizontal="center" vertical="top" wrapText="1" shrinkToFit="1"/>
      <protection locked="0"/>
    </xf>
    <xf numFmtId="0" fontId="4" fillId="0" borderId="323" xfId="0" applyFont="1" applyFill="1" applyBorder="1" applyAlignment="1">
      <alignment horizontal="center" vertical="top" wrapText="1"/>
    </xf>
    <xf numFmtId="0" fontId="3" fillId="0" borderId="323" xfId="0" applyFont="1" applyFill="1" applyBorder="1" applyAlignment="1" applyProtection="1">
      <alignment horizontal="center" vertical="top" wrapText="1" readingOrder="1"/>
      <protection locked="0"/>
    </xf>
    <xf numFmtId="0" fontId="3" fillId="0" borderId="0" xfId="0" applyFont="1" applyFill="1" applyBorder="1" applyAlignment="1" applyProtection="1">
      <alignment horizontal="center" vertical="top" wrapText="1" shrinkToFit="1"/>
      <protection locked="0"/>
    </xf>
    <xf numFmtId="0" fontId="3" fillId="0" borderId="306" xfId="0" applyFont="1" applyFill="1" applyBorder="1" applyAlignment="1" applyProtection="1">
      <alignment horizontal="left" vertical="top" wrapText="1" readingOrder="1"/>
      <protection locked="0"/>
    </xf>
    <xf numFmtId="0" fontId="4" fillId="0" borderId="174" xfId="0" applyFont="1" applyFill="1" applyBorder="1" applyAlignment="1">
      <alignment horizontal="center" vertical="top" wrapText="1"/>
    </xf>
    <xf numFmtId="0" fontId="4" fillId="0" borderId="290" xfId="0" applyFont="1" applyFill="1" applyBorder="1" applyAlignment="1">
      <alignment horizontal="center" vertical="top" wrapText="1"/>
    </xf>
    <xf numFmtId="0" fontId="3" fillId="0" borderId="168" xfId="0" applyFont="1" applyFill="1" applyBorder="1" applyAlignment="1">
      <alignment horizontal="center" vertical="top" wrapText="1"/>
    </xf>
    <xf numFmtId="0" fontId="3" fillId="0" borderId="253" xfId="0" applyFont="1" applyFill="1" applyBorder="1" applyAlignment="1">
      <alignment horizontal="center" vertical="top" wrapText="1"/>
    </xf>
    <xf numFmtId="0" fontId="3" fillId="0" borderId="128" xfId="0" applyFont="1" applyFill="1" applyBorder="1" applyAlignment="1">
      <alignment horizontal="center" vertical="top" wrapText="1"/>
    </xf>
    <xf numFmtId="0" fontId="3" fillId="0" borderId="306" xfId="0" applyFont="1" applyFill="1" applyBorder="1" applyAlignment="1" applyProtection="1">
      <alignment horizontal="center" vertical="top" wrapText="1" shrinkToFit="1"/>
      <protection locked="0"/>
    </xf>
    <xf numFmtId="0" fontId="3" fillId="0" borderId="226" xfId="0" applyFont="1" applyFill="1" applyBorder="1" applyAlignment="1" applyProtection="1">
      <alignment horizontal="center" vertical="top" wrapText="1" shrinkToFit="1"/>
      <protection locked="0"/>
    </xf>
    <xf numFmtId="0" fontId="3" fillId="0" borderId="323" xfId="0" applyFont="1" applyFill="1" applyBorder="1" applyAlignment="1" applyProtection="1">
      <alignment horizontal="left" vertical="top" wrapText="1" readingOrder="1"/>
      <protection locked="0"/>
    </xf>
    <xf numFmtId="0" fontId="3" fillId="0" borderId="216" xfId="0" applyFont="1" applyFill="1" applyBorder="1" applyAlignment="1" applyProtection="1">
      <alignment horizontal="center" vertical="top" wrapText="1" readingOrder="1"/>
      <protection locked="0"/>
    </xf>
    <xf numFmtId="0" fontId="3" fillId="0" borderId="234" xfId="0" applyFont="1" applyFill="1" applyBorder="1" applyAlignment="1" applyProtection="1">
      <alignment horizontal="center" vertical="top" wrapText="1" readingOrder="1"/>
      <protection locked="0"/>
    </xf>
    <xf numFmtId="0" fontId="4" fillId="0" borderId="306" xfId="0" applyFont="1" applyFill="1" applyBorder="1" applyAlignment="1">
      <alignment horizontal="center" vertical="top" wrapText="1"/>
    </xf>
    <xf numFmtId="0" fontId="4" fillId="0" borderId="316" xfId="0" applyFont="1" applyFill="1" applyBorder="1" applyAlignment="1">
      <alignment horizontal="center" vertical="top" wrapText="1"/>
    </xf>
    <xf numFmtId="0" fontId="4" fillId="0" borderId="265" xfId="0" applyFont="1" applyFill="1" applyBorder="1" applyAlignment="1" applyProtection="1">
      <alignment horizontal="center" vertical="top" wrapText="1" shrinkToFit="1"/>
      <protection locked="0"/>
    </xf>
    <xf numFmtId="0" fontId="3" fillId="0" borderId="52" xfId="0" applyFont="1" applyFill="1" applyBorder="1" applyAlignment="1" applyProtection="1">
      <alignment horizontal="center" vertical="top" wrapText="1" shrinkToFit="1"/>
      <protection locked="0"/>
    </xf>
    <xf numFmtId="0" fontId="3" fillId="0" borderId="276" xfId="0" applyFont="1" applyFill="1" applyBorder="1" applyAlignment="1" applyProtection="1">
      <alignment horizontal="center" vertical="top" wrapText="1" shrinkToFit="1"/>
      <protection locked="0"/>
    </xf>
    <xf numFmtId="0" fontId="3" fillId="0" borderId="290" xfId="0" applyFont="1" applyFill="1" applyBorder="1" applyAlignment="1" applyProtection="1">
      <alignment horizontal="center" vertical="top" wrapText="1" shrinkToFit="1"/>
      <protection locked="0"/>
    </xf>
    <xf numFmtId="0" fontId="4" fillId="0" borderId="174" xfId="0" applyFont="1" applyFill="1" applyBorder="1" applyAlignment="1" applyProtection="1">
      <alignment horizontal="center" vertical="top" wrapText="1" shrinkToFit="1"/>
      <protection locked="0"/>
    </xf>
    <xf numFmtId="0" fontId="6" fillId="0" borderId="117" xfId="0" applyFont="1" applyFill="1" applyBorder="1" applyAlignment="1" applyProtection="1">
      <alignment horizontal="center" vertical="top" wrapText="1" shrinkToFit="1"/>
      <protection locked="0"/>
    </xf>
    <xf numFmtId="0" fontId="3" fillId="0" borderId="244" xfId="0" applyFont="1" applyFill="1" applyBorder="1" applyAlignment="1" applyProtection="1">
      <alignment horizontal="center" vertical="top" wrapText="1" readingOrder="1"/>
      <protection locked="0"/>
    </xf>
    <xf numFmtId="0" fontId="4" fillId="0" borderId="308" xfId="0" applyFont="1" applyFill="1" applyBorder="1" applyAlignment="1" applyProtection="1">
      <alignment horizontal="center" vertical="top" wrapText="1" shrinkToFit="1"/>
      <protection locked="0"/>
    </xf>
    <xf numFmtId="0" fontId="3" fillId="0" borderId="290" xfId="0" applyFont="1" applyFill="1" applyBorder="1" applyAlignment="1" applyProtection="1">
      <alignment horizontal="left" vertical="top" wrapText="1" readingOrder="1"/>
      <protection locked="0"/>
    </xf>
    <xf numFmtId="0" fontId="3" fillId="0" borderId="166" xfId="0" applyFont="1" applyFill="1" applyBorder="1" applyAlignment="1" applyProtection="1">
      <alignment horizontal="center" vertical="top" wrapText="1" shrinkToFit="1"/>
      <protection locked="0"/>
    </xf>
    <xf numFmtId="14" fontId="3" fillId="0" borderId="306" xfId="0" applyNumberFormat="1" applyFont="1" applyFill="1" applyBorder="1" applyAlignment="1" applyProtection="1">
      <alignment horizontal="center" vertical="top" wrapText="1" shrinkToFit="1"/>
      <protection locked="0"/>
    </xf>
    <xf numFmtId="14" fontId="3" fillId="0" borderId="174" xfId="0" applyNumberFormat="1" applyFont="1" applyFill="1" applyBorder="1" applyAlignment="1" applyProtection="1">
      <alignment horizontal="center" vertical="top" wrapText="1" shrinkToFit="1"/>
      <protection locked="0"/>
    </xf>
    <xf numFmtId="14" fontId="3" fillId="0" borderId="226" xfId="0" applyNumberFormat="1" applyFont="1" applyFill="1" applyBorder="1" applyAlignment="1" applyProtection="1">
      <alignment horizontal="center" vertical="top" wrapText="1" shrinkToFit="1"/>
      <protection locked="0"/>
    </xf>
    <xf numFmtId="0" fontId="3" fillId="0" borderId="287" xfId="0" applyFont="1" applyFill="1" applyBorder="1" applyAlignment="1" applyProtection="1">
      <alignment horizontal="center" vertical="top" wrapText="1" readingOrder="1"/>
      <protection locked="0"/>
    </xf>
    <xf numFmtId="0" fontId="3" fillId="0" borderId="16" xfId="0" applyFont="1" applyFill="1" applyBorder="1" applyAlignment="1" applyProtection="1">
      <alignment horizontal="center" vertical="top" wrapText="1" readingOrder="1"/>
      <protection locked="0"/>
    </xf>
    <xf numFmtId="0" fontId="3" fillId="0" borderId="253" xfId="0" applyFont="1" applyFill="1" applyBorder="1" applyAlignment="1" applyProtection="1">
      <alignment horizontal="center" vertical="top" wrapText="1" readingOrder="1"/>
      <protection locked="0"/>
    </xf>
    <xf numFmtId="0" fontId="3" fillId="0" borderId="292" xfId="0" applyFont="1" applyFill="1" applyBorder="1" applyAlignment="1" applyProtection="1">
      <alignment horizontal="center" vertical="top" wrapText="1" shrinkToFit="1"/>
      <protection locked="0"/>
    </xf>
    <xf numFmtId="0" fontId="3" fillId="0" borderId="218" xfId="0" applyFont="1" applyFill="1" applyBorder="1" applyAlignment="1" applyProtection="1">
      <alignment horizontal="center" vertical="top" wrapText="1" shrinkToFit="1"/>
      <protection locked="0"/>
    </xf>
    <xf numFmtId="0" fontId="3" fillId="0" borderId="245" xfId="0" applyFont="1" applyFill="1" applyBorder="1" applyAlignment="1" applyProtection="1">
      <alignment horizontal="center" vertical="top" wrapText="1" shrinkToFit="1"/>
      <protection locked="0"/>
    </xf>
    <xf numFmtId="0" fontId="3" fillId="0" borderId="16" xfId="0" applyFont="1" applyFill="1" applyBorder="1" applyAlignment="1" applyProtection="1">
      <alignment horizontal="center" vertical="top" wrapText="1" shrinkToFit="1"/>
      <protection locked="0"/>
    </xf>
    <xf numFmtId="0" fontId="3" fillId="0" borderId="168" xfId="0" applyFont="1" applyFill="1" applyBorder="1" applyAlignment="1" applyProtection="1">
      <alignment horizontal="center" vertical="top" wrapText="1" shrinkToFit="1"/>
      <protection locked="0"/>
    </xf>
    <xf numFmtId="0" fontId="3" fillId="0" borderId="313" xfId="0" applyFont="1" applyFill="1" applyBorder="1" applyAlignment="1" applyProtection="1">
      <alignment horizontal="center" vertical="top" wrapText="1" readingOrder="1"/>
      <protection locked="0"/>
    </xf>
    <xf numFmtId="0" fontId="4" fillId="0" borderId="16" xfId="0" applyFont="1" applyFill="1" applyBorder="1" applyAlignment="1">
      <alignment horizontal="center" vertical="top" wrapText="1"/>
    </xf>
    <xf numFmtId="0" fontId="3" fillId="0" borderId="263" xfId="0" applyFont="1" applyFill="1" applyBorder="1" applyAlignment="1" applyProtection="1">
      <alignment horizontal="center" vertical="top" wrapText="1" readingOrder="1"/>
      <protection locked="0"/>
    </xf>
    <xf numFmtId="0" fontId="3" fillId="0" borderId="276" xfId="0" applyFont="1" applyFill="1" applyBorder="1" applyAlignment="1">
      <alignment horizontal="center" vertical="top" wrapText="1"/>
    </xf>
    <xf numFmtId="0" fontId="3" fillId="0" borderId="308" xfId="0" applyFont="1" applyFill="1" applyBorder="1" applyAlignment="1">
      <alignment horizontal="center" vertical="top" wrapText="1"/>
    </xf>
    <xf numFmtId="0" fontId="3" fillId="0" borderId="265" xfId="0" applyFont="1" applyFill="1" applyBorder="1" applyAlignment="1" applyProtection="1">
      <alignment horizontal="center" vertical="top" wrapText="1" readingOrder="1"/>
      <protection locked="0"/>
    </xf>
    <xf numFmtId="0" fontId="4" fillId="0" borderId="293" xfId="0" applyFont="1" applyFill="1" applyBorder="1" applyAlignment="1">
      <alignment horizontal="center" vertical="top" wrapText="1"/>
    </xf>
    <xf numFmtId="0" fontId="3" fillId="0" borderId="168" xfId="0" applyFont="1" applyFill="1" applyBorder="1" applyAlignment="1" applyProtection="1">
      <alignment horizontal="center" vertical="top" wrapText="1" readingOrder="1"/>
      <protection locked="0"/>
    </xf>
    <xf numFmtId="0" fontId="6" fillId="0" borderId="247" xfId="0" applyFont="1" applyFill="1" applyBorder="1" applyAlignment="1" applyProtection="1">
      <alignment horizontal="center" vertical="top" wrapText="1" shrinkToFit="1"/>
      <protection locked="0"/>
    </xf>
    <xf numFmtId="0" fontId="6" fillId="0" borderId="126" xfId="0" applyFont="1" applyFill="1" applyBorder="1" applyAlignment="1" applyProtection="1">
      <alignment horizontal="center" vertical="top" wrapText="1" shrinkToFit="1"/>
      <protection locked="0"/>
    </xf>
    <xf numFmtId="0" fontId="6" fillId="0" borderId="265" xfId="0" applyFont="1" applyFill="1" applyBorder="1" applyAlignment="1" applyProtection="1">
      <alignment horizontal="center" vertical="top" wrapText="1" shrinkToFit="1"/>
      <protection locked="0"/>
    </xf>
    <xf numFmtId="0" fontId="3" fillId="0" borderId="247" xfId="0" applyFont="1" applyFill="1" applyBorder="1" applyAlignment="1" applyProtection="1">
      <alignment horizontal="center" vertical="top" wrapText="1" readingOrder="1"/>
      <protection locked="0"/>
    </xf>
    <xf numFmtId="0" fontId="3" fillId="0" borderId="293" xfId="0" applyFont="1" applyFill="1" applyBorder="1" applyAlignment="1" applyProtection="1">
      <alignment horizontal="center" vertical="top" wrapText="1" readingOrder="1"/>
      <protection locked="0"/>
    </xf>
    <xf numFmtId="0" fontId="6" fillId="0" borderId="293" xfId="0" applyFont="1" applyFill="1" applyBorder="1" applyAlignment="1" applyProtection="1">
      <alignment horizontal="center" vertical="top" wrapText="1" shrinkToFit="1"/>
      <protection locked="0"/>
    </xf>
    <xf numFmtId="0" fontId="6" fillId="0" borderId="290" xfId="0" applyFont="1" applyFill="1" applyBorder="1" applyAlignment="1" applyProtection="1">
      <alignment horizontal="center" vertical="top" wrapText="1" shrinkToFit="1"/>
      <protection locked="0"/>
    </xf>
    <xf numFmtId="0" fontId="4" fillId="0" borderId="306" xfId="0" applyFont="1" applyFill="1" applyBorder="1" applyAlignment="1">
      <alignment horizontal="center" vertical="top" wrapText="1" readingOrder="1"/>
    </xf>
    <xf numFmtId="0" fontId="3" fillId="0" borderId="306" xfId="0" applyFont="1" applyFill="1" applyBorder="1" applyAlignment="1" applyProtection="1">
      <alignment horizontal="center" vertical="top" wrapText="1" readingOrder="1"/>
      <protection locked="0"/>
    </xf>
    <xf numFmtId="49" fontId="3" fillId="0" borderId="174" xfId="0" applyNumberFormat="1" applyFont="1" applyFill="1" applyBorder="1" applyAlignment="1" applyProtection="1">
      <alignment horizontal="center" vertical="top" wrapText="1" readingOrder="1"/>
      <protection locked="0"/>
    </xf>
    <xf numFmtId="0" fontId="4" fillId="0" borderId="290" xfId="0" applyFont="1" applyFill="1" applyBorder="1" applyAlignment="1" applyProtection="1">
      <alignment horizontal="center" vertical="top" wrapText="1" shrinkToFit="1"/>
      <protection locked="0"/>
    </xf>
    <xf numFmtId="0" fontId="4" fillId="0" borderId="276" xfId="0" applyFont="1" applyFill="1" applyBorder="1" applyAlignment="1" applyProtection="1">
      <alignment horizontal="center" vertical="top" wrapText="1" shrinkToFit="1"/>
      <protection locked="0"/>
    </xf>
    <xf numFmtId="14" fontId="3" fillId="0" borderId="292" xfId="0" applyNumberFormat="1" applyFont="1" applyFill="1" applyBorder="1" applyAlignment="1" applyProtection="1">
      <alignment horizontal="center" vertical="top" wrapText="1" shrinkToFit="1"/>
      <protection locked="0"/>
    </xf>
    <xf numFmtId="0" fontId="6" fillId="0" borderId="276" xfId="0" applyFont="1" applyFill="1" applyBorder="1" applyAlignment="1" applyProtection="1">
      <alignment horizontal="center" vertical="top" wrapText="1" shrinkToFit="1"/>
      <protection locked="0"/>
    </xf>
    <xf numFmtId="0" fontId="6" fillId="0" borderId="287" xfId="0" applyFont="1" applyFill="1" applyBorder="1" applyAlignment="1" applyProtection="1">
      <alignment horizontal="center" vertical="top" wrapText="1" shrinkToFit="1"/>
      <protection locked="0"/>
    </xf>
    <xf numFmtId="0" fontId="6" fillId="0" borderId="292" xfId="0" applyFont="1" applyFill="1" applyBorder="1" applyAlignment="1" applyProtection="1">
      <alignment horizontal="center" vertical="top" wrapText="1" shrinkToFit="1"/>
      <protection locked="0"/>
    </xf>
    <xf numFmtId="0" fontId="6" fillId="0" borderId="261" xfId="0" applyFont="1" applyFill="1" applyBorder="1" applyAlignment="1" applyProtection="1">
      <alignment horizontal="center" vertical="top" wrapText="1" shrinkToFit="1"/>
      <protection locked="0"/>
    </xf>
    <xf numFmtId="0" fontId="6" fillId="0" borderId="275" xfId="0" applyFont="1" applyFill="1" applyBorder="1" applyAlignment="1" applyProtection="1">
      <alignment horizontal="center" vertical="top" wrapText="1" shrinkToFit="1"/>
      <protection locked="0"/>
    </xf>
    <xf numFmtId="0" fontId="6" fillId="0" borderId="253" xfId="0" applyFont="1" applyFill="1" applyBorder="1" applyAlignment="1" applyProtection="1">
      <alignment horizontal="center" vertical="top" wrapText="1" shrinkToFit="1"/>
      <protection locked="0"/>
    </xf>
    <xf numFmtId="14" fontId="6" fillId="0" borderId="253" xfId="0" applyNumberFormat="1" applyFont="1" applyFill="1" applyBorder="1" applyAlignment="1" applyProtection="1">
      <alignment horizontal="center" vertical="top" wrapText="1" shrinkToFit="1"/>
      <protection locked="0"/>
    </xf>
    <xf numFmtId="0" fontId="3" fillId="0" borderId="276" xfId="0" applyFont="1" applyFill="1" applyBorder="1" applyAlignment="1" applyProtection="1">
      <alignment horizontal="center" vertical="top" wrapText="1" readingOrder="1"/>
      <protection locked="0"/>
    </xf>
    <xf numFmtId="0" fontId="4" fillId="0" borderId="305" xfId="0" applyFont="1" applyFill="1" applyBorder="1" applyAlignment="1">
      <alignment horizontal="center" vertical="top" wrapText="1"/>
    </xf>
    <xf numFmtId="0" fontId="4" fillId="0" borderId="287" xfId="0" applyFont="1" applyFill="1" applyBorder="1" applyAlignment="1">
      <alignment horizontal="center" vertical="top" wrapText="1"/>
    </xf>
    <xf numFmtId="14" fontId="3" fillId="0" borderId="168" xfId="0" applyNumberFormat="1" applyFont="1" applyFill="1" applyBorder="1" applyAlignment="1" applyProtection="1">
      <alignment horizontal="center" vertical="top" wrapText="1" shrinkToFit="1"/>
      <protection locked="0"/>
    </xf>
    <xf numFmtId="14" fontId="3" fillId="0" borderId="166" xfId="0" applyNumberFormat="1" applyFont="1" applyFill="1" applyBorder="1" applyAlignment="1" applyProtection="1">
      <alignment horizontal="center" vertical="top" wrapText="1" shrinkToFit="1"/>
      <protection locked="0"/>
    </xf>
    <xf numFmtId="49" fontId="3" fillId="0" borderId="168" xfId="0" applyNumberFormat="1" applyFont="1" applyFill="1" applyBorder="1" applyAlignment="1" applyProtection="1">
      <alignment horizontal="center" vertical="top" wrapText="1" readingOrder="1"/>
      <protection locked="0"/>
    </xf>
    <xf numFmtId="49" fontId="3" fillId="0" borderId="200" xfId="0" applyNumberFormat="1" applyFont="1" applyFill="1" applyBorder="1" applyAlignment="1" applyProtection="1">
      <alignment horizontal="center" vertical="top" wrapText="1" readingOrder="1"/>
      <protection locked="0"/>
    </xf>
    <xf numFmtId="0" fontId="6" fillId="0" borderId="168" xfId="0" applyFont="1" applyFill="1" applyBorder="1" applyAlignment="1" applyProtection="1">
      <alignment horizontal="center" vertical="top" wrapText="1" shrinkToFit="1"/>
      <protection locked="0"/>
    </xf>
    <xf numFmtId="0" fontId="6" fillId="0" borderId="200" xfId="0" applyFont="1" applyFill="1" applyBorder="1" applyAlignment="1" applyProtection="1">
      <alignment horizontal="center" vertical="top" wrapText="1" shrinkToFit="1"/>
      <protection locked="0"/>
    </xf>
    <xf numFmtId="0" fontId="6" fillId="0" borderId="166" xfId="0" applyFont="1" applyFill="1" applyBorder="1" applyAlignment="1" applyProtection="1">
      <alignment horizontal="center" vertical="top" wrapText="1" shrinkToFit="1"/>
      <protection locked="0"/>
    </xf>
    <xf numFmtId="0" fontId="6" fillId="0" borderId="277" xfId="0" applyFont="1" applyFill="1" applyBorder="1" applyAlignment="1" applyProtection="1">
      <alignment horizontal="center" vertical="top" wrapText="1" shrinkToFit="1"/>
      <protection locked="0"/>
    </xf>
    <xf numFmtId="0" fontId="6" fillId="0" borderId="238" xfId="0" applyFont="1" applyFill="1" applyBorder="1" applyAlignment="1" applyProtection="1">
      <alignment horizontal="center" vertical="top" wrapText="1" shrinkToFit="1"/>
      <protection locked="0"/>
    </xf>
    <xf numFmtId="0" fontId="3" fillId="0" borderId="273" xfId="0" applyFont="1" applyFill="1" applyBorder="1" applyAlignment="1" applyProtection="1">
      <alignment horizontal="left" vertical="top" wrapText="1" readingOrder="1"/>
      <protection locked="0"/>
    </xf>
    <xf numFmtId="0" fontId="3" fillId="0" borderId="183" xfId="0" applyFont="1" applyFill="1" applyBorder="1" applyAlignment="1" applyProtection="1">
      <alignment horizontal="center" vertical="top" wrapText="1" readingOrder="1"/>
      <protection locked="0"/>
    </xf>
    <xf numFmtId="0" fontId="3" fillId="0" borderId="193" xfId="0" applyFont="1" applyFill="1" applyBorder="1" applyAlignment="1" applyProtection="1">
      <alignment horizontal="left" vertical="top" wrapText="1" readingOrder="1"/>
      <protection locked="0"/>
    </xf>
    <xf numFmtId="0" fontId="4" fillId="0" borderId="308" xfId="0" applyFont="1" applyFill="1" applyBorder="1" applyAlignment="1">
      <alignment horizontal="center" vertical="top" wrapText="1"/>
    </xf>
    <xf numFmtId="0" fontId="3" fillId="0" borderId="308" xfId="0" applyFont="1" applyFill="1" applyBorder="1" applyAlignment="1" applyProtection="1">
      <alignment horizontal="center" vertical="top" wrapText="1" readingOrder="1"/>
      <protection locked="0"/>
    </xf>
    <xf numFmtId="0" fontId="3" fillId="0" borderId="290" xfId="0" applyFont="1" applyFill="1" applyBorder="1" applyAlignment="1" applyProtection="1">
      <alignment horizontal="center" vertical="top" wrapText="1" readingOrder="1"/>
      <protection locked="0"/>
    </xf>
    <xf numFmtId="0" fontId="3" fillId="0" borderId="193" xfId="0" applyFont="1" applyFill="1" applyBorder="1" applyAlignment="1" applyProtection="1">
      <alignment horizontal="center" vertical="top" wrapText="1" readingOrder="1"/>
      <protection locked="0"/>
    </xf>
    <xf numFmtId="49" fontId="3" fillId="0" borderId="219" xfId="0" applyNumberFormat="1" applyFont="1" applyFill="1" applyBorder="1" applyAlignment="1" applyProtection="1">
      <alignment horizontal="center" vertical="top" wrapText="1" readingOrder="1"/>
      <protection locked="0"/>
    </xf>
    <xf numFmtId="0" fontId="3" fillId="0" borderId="166" xfId="0" applyFont="1" applyFill="1" applyBorder="1" applyAlignment="1" applyProtection="1">
      <alignment horizontal="center" vertical="top" wrapText="1" readingOrder="1"/>
      <protection locked="0"/>
    </xf>
    <xf numFmtId="165" fontId="3" fillId="0" borderId="148" xfId="0" applyNumberFormat="1" applyFont="1" applyFill="1" applyBorder="1" applyAlignment="1" applyProtection="1">
      <alignment horizontal="right" vertical="top" wrapText="1" readingOrder="1"/>
      <protection locked="0"/>
    </xf>
    <xf numFmtId="0" fontId="3" fillId="0" borderId="200" xfId="0" applyFont="1" applyFill="1" applyBorder="1" applyAlignment="1" applyProtection="1">
      <alignment horizontal="center" vertical="top" wrapText="1" readingOrder="1"/>
      <protection locked="0"/>
    </xf>
    <xf numFmtId="49" fontId="5" fillId="0" borderId="219" xfId="0" applyNumberFormat="1" applyFont="1" applyFill="1" applyBorder="1" applyAlignment="1" applyProtection="1">
      <alignment horizontal="center" vertical="top" wrapText="1" readingOrder="1"/>
      <protection locked="0"/>
    </xf>
    <xf numFmtId="0" fontId="3" fillId="0" borderId="300" xfId="0" applyFont="1" applyFill="1" applyBorder="1" applyAlignment="1">
      <alignment horizontal="center" vertical="top" wrapText="1"/>
    </xf>
    <xf numFmtId="0" fontId="3" fillId="0" borderId="316" xfId="0" applyFont="1" applyFill="1" applyBorder="1" applyAlignment="1">
      <alignment horizontal="center" vertical="top" wrapText="1"/>
    </xf>
    <xf numFmtId="0" fontId="3" fillId="0" borderId="246" xfId="0" applyFont="1" applyFill="1" applyBorder="1" applyAlignment="1" applyProtection="1">
      <alignment horizontal="center" vertical="top" wrapText="1" readingOrder="1"/>
      <protection locked="0"/>
    </xf>
    <xf numFmtId="0" fontId="3" fillId="0" borderId="242" xfId="0" applyFont="1" applyFill="1" applyBorder="1" applyAlignment="1" applyProtection="1">
      <alignment horizontal="center" vertical="top" wrapText="1" readingOrder="1"/>
      <protection locked="0"/>
    </xf>
    <xf numFmtId="0" fontId="3" fillId="0" borderId="316" xfId="0" applyFont="1" applyFill="1" applyBorder="1" applyAlignment="1" applyProtection="1">
      <alignment horizontal="center" vertical="top" wrapText="1" readingOrder="1"/>
      <protection locked="0"/>
    </xf>
    <xf numFmtId="0" fontId="3" fillId="0" borderId="316" xfId="0" applyFont="1" applyFill="1" applyBorder="1" applyAlignment="1" applyProtection="1">
      <alignment horizontal="center" vertical="top" wrapText="1" shrinkToFit="1"/>
      <protection locked="0"/>
    </xf>
    <xf numFmtId="0" fontId="3" fillId="0" borderId="301" xfId="0" applyFont="1" applyFill="1" applyBorder="1" applyAlignment="1" applyProtection="1">
      <alignment horizontal="center" vertical="top" wrapText="1" shrinkToFit="1"/>
      <protection locked="0"/>
    </xf>
    <xf numFmtId="0" fontId="5" fillId="0" borderId="168" xfId="0" applyFont="1" applyFill="1" applyBorder="1" applyAlignment="1" applyProtection="1">
      <alignment horizontal="center" vertical="top" wrapText="1" readingOrder="1"/>
      <protection locked="0"/>
    </xf>
    <xf numFmtId="0" fontId="3" fillId="0" borderId="168" xfId="0" applyFont="1" applyFill="1" applyBorder="1" applyAlignment="1" applyProtection="1">
      <alignment horizontal="left" vertical="top" wrapText="1" readingOrder="1"/>
      <protection locked="0"/>
    </xf>
    <xf numFmtId="0" fontId="3" fillId="0" borderId="266" xfId="0" applyFont="1" applyFill="1" applyBorder="1" applyAlignment="1" applyProtection="1">
      <alignment horizontal="center" vertical="top" wrapText="1" shrinkToFit="1"/>
      <protection locked="0"/>
    </xf>
    <xf numFmtId="0" fontId="3" fillId="0" borderId="117" xfId="0" applyFont="1" applyFill="1" applyBorder="1" applyAlignment="1" applyProtection="1">
      <alignment horizontal="center" vertical="top" wrapText="1" readingOrder="1"/>
      <protection locked="0"/>
    </xf>
    <xf numFmtId="0" fontId="3" fillId="0" borderId="206" xfId="0" applyFont="1" applyFill="1" applyBorder="1" applyAlignment="1" applyProtection="1">
      <alignment horizontal="center" vertical="top" wrapText="1" readingOrder="1"/>
      <protection locked="0"/>
    </xf>
    <xf numFmtId="0" fontId="3" fillId="0" borderId="328" xfId="0" applyFont="1" applyFill="1" applyBorder="1" applyAlignment="1" applyProtection="1">
      <alignment horizontal="center" vertical="top" wrapText="1" shrinkToFit="1"/>
      <protection locked="0"/>
    </xf>
    <xf numFmtId="0" fontId="6" fillId="0" borderId="0" xfId="0" applyFont="1" applyFill="1" applyBorder="1" applyAlignment="1" applyProtection="1">
      <alignment horizontal="center" vertical="top" wrapText="1" shrinkToFit="1"/>
      <protection locked="0"/>
    </xf>
    <xf numFmtId="0" fontId="6" fillId="0" borderId="314" xfId="0" applyFont="1" applyFill="1" applyBorder="1" applyAlignment="1" applyProtection="1">
      <alignment horizontal="center" vertical="top" wrapText="1" shrinkToFit="1"/>
      <protection locked="0"/>
    </xf>
    <xf numFmtId="0" fontId="3" fillId="0" borderId="301" xfId="0" applyFont="1" applyFill="1" applyBorder="1" applyAlignment="1" applyProtection="1">
      <alignment horizontal="center" vertical="top" wrapText="1" readingOrder="1"/>
      <protection locked="0"/>
    </xf>
    <xf numFmtId="0" fontId="4" fillId="0" borderId="265" xfId="0" applyFont="1" applyFill="1" applyBorder="1" applyAlignment="1">
      <alignment horizontal="center" vertical="top" wrapText="1"/>
    </xf>
    <xf numFmtId="165" fontId="5" fillId="0" borderId="194" xfId="0" applyNumberFormat="1" applyFont="1" applyFill="1" applyBorder="1" applyAlignment="1" applyProtection="1">
      <alignment vertical="top" wrapText="1" readingOrder="1"/>
      <protection locked="0"/>
    </xf>
    <xf numFmtId="165" fontId="3" fillId="0" borderId="194" xfId="0" applyNumberFormat="1" applyFont="1" applyFill="1" applyBorder="1" applyAlignment="1" applyProtection="1">
      <alignment vertical="top" wrapText="1" readingOrder="1"/>
      <protection locked="0"/>
    </xf>
    <xf numFmtId="165" fontId="5" fillId="0" borderId="192" xfId="0" applyNumberFormat="1" applyFont="1" applyFill="1" applyBorder="1" applyAlignment="1" applyProtection="1">
      <alignment vertical="top" wrapText="1" readingOrder="1"/>
      <protection locked="0"/>
    </xf>
    <xf numFmtId="165" fontId="5" fillId="0" borderId="166" xfId="0" applyNumberFormat="1" applyFont="1" applyFill="1" applyBorder="1" applyAlignment="1" applyProtection="1">
      <alignment vertical="top" wrapText="1" readingOrder="1"/>
      <protection locked="0"/>
    </xf>
    <xf numFmtId="165" fontId="5" fillId="0" borderId="117" xfId="0" applyNumberFormat="1" applyFont="1" applyFill="1" applyBorder="1" applyAlignment="1" applyProtection="1">
      <alignment vertical="top" wrapText="1" readingOrder="1"/>
      <protection locked="0"/>
    </xf>
    <xf numFmtId="165" fontId="3" fillId="0" borderId="195" xfId="0" applyNumberFormat="1" applyFont="1" applyFill="1" applyBorder="1" applyAlignment="1" applyProtection="1">
      <alignment vertical="top" wrapText="1" readingOrder="1"/>
      <protection locked="0"/>
    </xf>
    <xf numFmtId="165" fontId="12" fillId="0" borderId="174" xfId="0" applyNumberFormat="1" applyFont="1" applyFill="1" applyBorder="1" applyAlignment="1" applyProtection="1">
      <alignment vertical="top" wrapText="1" readingOrder="1"/>
      <protection locked="0"/>
    </xf>
    <xf numFmtId="165" fontId="3" fillId="0" borderId="170" xfId="0" applyNumberFormat="1" applyFont="1" applyFill="1" applyBorder="1" applyAlignment="1" applyProtection="1">
      <alignment vertical="top" wrapText="1" readingOrder="1"/>
      <protection locked="0"/>
    </xf>
    <xf numFmtId="165" fontId="5" fillId="0" borderId="180" xfId="0" applyNumberFormat="1" applyFont="1" applyFill="1" applyBorder="1" applyAlignment="1" applyProtection="1">
      <alignment vertical="top" wrapText="1" readingOrder="1"/>
      <protection locked="0"/>
    </xf>
    <xf numFmtId="165" fontId="3" fillId="0" borderId="196" xfId="0" applyNumberFormat="1" applyFont="1" applyFill="1" applyBorder="1" applyAlignment="1" applyProtection="1">
      <alignment vertical="top" wrapText="1" readingOrder="1"/>
      <protection locked="0"/>
    </xf>
    <xf numFmtId="165" fontId="5" fillId="0" borderId="162" xfId="0" applyNumberFormat="1" applyFont="1" applyFill="1" applyBorder="1" applyAlignment="1" applyProtection="1">
      <alignment vertical="top" wrapText="1" readingOrder="1"/>
      <protection locked="0"/>
    </xf>
    <xf numFmtId="165" fontId="5" fillId="0" borderId="196" xfId="0" applyNumberFormat="1" applyFont="1" applyFill="1" applyBorder="1" applyAlignment="1" applyProtection="1">
      <alignment vertical="top" wrapText="1" readingOrder="1"/>
      <protection locked="0"/>
    </xf>
    <xf numFmtId="165" fontId="5" fillId="0" borderId="177" xfId="0" applyNumberFormat="1" applyFont="1" applyFill="1" applyBorder="1" applyAlignment="1" applyProtection="1">
      <alignment vertical="top" wrapText="1" readingOrder="1"/>
      <protection locked="0"/>
    </xf>
    <xf numFmtId="165" fontId="5" fillId="0" borderId="168" xfId="0" applyNumberFormat="1" applyFont="1" applyFill="1" applyBorder="1" applyAlignment="1" applyProtection="1">
      <alignment vertical="top" wrapText="1" readingOrder="1"/>
      <protection locked="0"/>
    </xf>
    <xf numFmtId="165" fontId="3" fillId="0" borderId="54" xfId="0" applyNumberFormat="1" applyFont="1" applyFill="1" applyBorder="1" applyAlignment="1" applyProtection="1">
      <alignment vertical="top" wrapText="1" readingOrder="1"/>
      <protection locked="0"/>
    </xf>
    <xf numFmtId="165" fontId="3" fillId="0" borderId="196" xfId="0" applyNumberFormat="1" applyFont="1" applyFill="1" applyBorder="1" applyAlignment="1" applyProtection="1">
      <alignment horizontal="right" vertical="top" wrapText="1" readingOrder="1"/>
      <protection locked="0"/>
    </xf>
    <xf numFmtId="165" fontId="3" fillId="0" borderId="112" xfId="0" applyNumberFormat="1" applyFont="1" applyFill="1" applyBorder="1" applyAlignment="1" applyProtection="1">
      <alignment horizontal="right" vertical="top" wrapText="1" readingOrder="1"/>
      <protection locked="0"/>
    </xf>
    <xf numFmtId="165" fontId="3" fillId="0" borderId="174" xfId="0" applyNumberFormat="1" applyFont="1" applyFill="1" applyBorder="1" applyAlignment="1" applyProtection="1">
      <alignment horizontal="right" vertical="top" wrapText="1" readingOrder="1"/>
      <protection locked="0"/>
    </xf>
    <xf numFmtId="165" fontId="3" fillId="0" borderId="10" xfId="0" applyNumberFormat="1" applyFont="1" applyFill="1" applyBorder="1" applyAlignment="1" applyProtection="1">
      <alignment horizontal="right" vertical="top" wrapText="1" readingOrder="1"/>
      <protection locked="0"/>
    </xf>
    <xf numFmtId="165" fontId="3" fillId="0" borderId="99" xfId="0" applyNumberFormat="1" applyFont="1" applyFill="1" applyBorder="1" applyAlignment="1" applyProtection="1">
      <alignment vertical="top" wrapText="1" readingOrder="1"/>
      <protection locked="0"/>
    </xf>
    <xf numFmtId="165" fontId="3" fillId="0" borderId="81" xfId="0" applyNumberFormat="1" applyFont="1" applyFill="1" applyBorder="1" applyAlignment="1" applyProtection="1">
      <alignment vertical="top" wrapText="1" readingOrder="1"/>
      <protection locked="0"/>
    </xf>
    <xf numFmtId="165" fontId="3" fillId="0" borderId="303" xfId="0" applyNumberFormat="1" applyFont="1" applyFill="1" applyBorder="1" applyAlignment="1" applyProtection="1">
      <alignment vertical="top" wrapText="1" readingOrder="1"/>
      <protection locked="0"/>
    </xf>
    <xf numFmtId="165" fontId="3" fillId="0" borderId="173" xfId="0" applyNumberFormat="1" applyFont="1" applyFill="1" applyBorder="1" applyAlignment="1" applyProtection="1">
      <alignment vertical="top" wrapText="1" readingOrder="1"/>
      <protection locked="0"/>
    </xf>
    <xf numFmtId="165" fontId="5" fillId="0" borderId="287" xfId="0" applyNumberFormat="1" applyFont="1" applyFill="1" applyBorder="1" applyAlignment="1" applyProtection="1">
      <alignment vertical="top" wrapText="1" readingOrder="1"/>
      <protection locked="0"/>
    </xf>
    <xf numFmtId="165" fontId="5" fillId="0" borderId="213" xfId="0" applyNumberFormat="1" applyFont="1" applyFill="1" applyBorder="1" applyAlignment="1" applyProtection="1">
      <alignment vertical="top" wrapText="1" readingOrder="1"/>
      <protection locked="0"/>
    </xf>
    <xf numFmtId="165" fontId="3" fillId="0" borderId="228" xfId="0" applyNumberFormat="1" applyFont="1" applyFill="1" applyBorder="1" applyAlignment="1" applyProtection="1">
      <alignment vertical="top" wrapText="1" readingOrder="1"/>
      <protection locked="0"/>
    </xf>
    <xf numFmtId="165" fontId="3" fillId="0" borderId="104" xfId="0" applyNumberFormat="1" applyFont="1" applyFill="1" applyBorder="1" applyAlignment="1" applyProtection="1">
      <alignment vertical="top" wrapText="1" readingOrder="1"/>
      <protection locked="0"/>
    </xf>
    <xf numFmtId="165" fontId="3" fillId="0" borderId="163" xfId="0" applyNumberFormat="1" applyFont="1" applyFill="1" applyBorder="1" applyAlignment="1" applyProtection="1">
      <alignment vertical="top" wrapText="1" readingOrder="1"/>
      <protection locked="0"/>
    </xf>
    <xf numFmtId="165" fontId="5" fillId="0" borderId="164" xfId="0" applyNumberFormat="1" applyFont="1" applyFill="1" applyBorder="1" applyAlignment="1" applyProtection="1">
      <alignment vertical="top" wrapText="1" readingOrder="1"/>
      <protection locked="0"/>
    </xf>
    <xf numFmtId="165" fontId="5" fillId="0" borderId="197" xfId="0" applyNumberFormat="1" applyFont="1" applyFill="1" applyBorder="1" applyAlignment="1" applyProtection="1">
      <alignment vertical="top" wrapText="1" readingOrder="1"/>
      <protection locked="0"/>
    </xf>
    <xf numFmtId="165" fontId="5" fillId="0" borderId="161" xfId="0" applyNumberFormat="1" applyFont="1" applyFill="1" applyBorder="1" applyAlignment="1" applyProtection="1">
      <alignment vertical="top" wrapText="1" readingOrder="1"/>
      <protection locked="0"/>
    </xf>
    <xf numFmtId="165" fontId="5" fillId="0" borderId="163" xfId="0" applyNumberFormat="1" applyFont="1" applyFill="1" applyBorder="1" applyAlignment="1" applyProtection="1">
      <alignment vertical="top" wrapText="1" readingOrder="1"/>
      <protection locked="0"/>
    </xf>
    <xf numFmtId="165" fontId="5" fillId="0" borderId="249" xfId="0" applyNumberFormat="1" applyFont="1" applyFill="1" applyBorder="1" applyAlignment="1" applyProtection="1">
      <alignment vertical="top" wrapText="1" readingOrder="1"/>
      <protection locked="0"/>
    </xf>
    <xf numFmtId="165" fontId="5" fillId="0" borderId="248" xfId="0" applyNumberFormat="1" applyFont="1" applyFill="1" applyBorder="1" applyAlignment="1" applyProtection="1">
      <alignment vertical="top" wrapText="1" readingOrder="1"/>
      <protection locked="0"/>
    </xf>
    <xf numFmtId="165" fontId="3" fillId="0" borderId="164" xfId="0" applyNumberFormat="1" applyFont="1" applyFill="1" applyBorder="1" applyAlignment="1" applyProtection="1">
      <alignment vertical="top" wrapText="1" readingOrder="1"/>
      <protection locked="0"/>
    </xf>
    <xf numFmtId="165" fontId="5" fillId="0" borderId="107" xfId="0" applyNumberFormat="1" applyFont="1" applyFill="1" applyBorder="1" applyAlignment="1" applyProtection="1">
      <alignment vertical="top" wrapText="1" readingOrder="1"/>
      <protection locked="0"/>
    </xf>
    <xf numFmtId="165" fontId="3" fillId="0" borderId="292" xfId="0" applyNumberFormat="1" applyFont="1" applyFill="1" applyBorder="1" applyAlignment="1" applyProtection="1">
      <alignment vertical="top" wrapText="1" readingOrder="1"/>
      <protection locked="0"/>
    </xf>
    <xf numFmtId="165" fontId="12" fillId="0" borderId="292" xfId="0" applyNumberFormat="1" applyFont="1" applyFill="1" applyBorder="1" applyAlignment="1" applyProtection="1">
      <alignment vertical="top" wrapText="1" readingOrder="1"/>
      <protection locked="0"/>
    </xf>
    <xf numFmtId="165" fontId="5" fillId="0" borderId="195" xfId="0" applyNumberFormat="1" applyFont="1" applyFill="1" applyBorder="1" applyAlignment="1" applyProtection="1">
      <alignment vertical="top" wrapText="1" readingOrder="1"/>
      <protection locked="0"/>
    </xf>
    <xf numFmtId="165" fontId="5" fillId="0" borderId="198" xfId="0" applyNumberFormat="1" applyFont="1" applyFill="1" applyBorder="1" applyAlignment="1" applyProtection="1">
      <alignment vertical="top" wrapText="1" readingOrder="1"/>
      <protection locked="0"/>
    </xf>
    <xf numFmtId="165" fontId="3" fillId="0" borderId="123" xfId="0" applyNumberFormat="1" applyFont="1" applyFill="1" applyBorder="1" applyAlignment="1" applyProtection="1">
      <alignment vertical="top" wrapText="1" readingOrder="1"/>
      <protection locked="0"/>
    </xf>
    <xf numFmtId="165" fontId="3" fillId="0" borderId="8" xfId="0" applyNumberFormat="1" applyFont="1" applyFill="1" applyBorder="1" applyAlignment="1" applyProtection="1">
      <alignment vertical="top" wrapText="1" readingOrder="1"/>
      <protection locked="0"/>
    </xf>
    <xf numFmtId="165" fontId="3" fillId="0" borderId="118" xfId="0" applyNumberFormat="1" applyFont="1" applyFill="1" applyBorder="1" applyAlignment="1" applyProtection="1">
      <alignment vertical="top" wrapText="1" readingOrder="1"/>
      <protection locked="0"/>
    </xf>
    <xf numFmtId="165" fontId="3" fillId="0" borderId="174" xfId="0" applyNumberFormat="1" applyFont="1" applyFill="1" applyBorder="1" applyAlignment="1" applyProtection="1">
      <alignment wrapText="1" readingOrder="1"/>
      <protection locked="0"/>
    </xf>
    <xf numFmtId="165" fontId="3" fillId="0" borderId="115" xfId="0" applyNumberFormat="1" applyFont="1" applyFill="1" applyBorder="1" applyAlignment="1" applyProtection="1">
      <alignment vertical="top" wrapText="1" readingOrder="1"/>
      <protection locked="0"/>
    </xf>
    <xf numFmtId="165" fontId="16" fillId="0" borderId="196" xfId="0" applyNumberFormat="1" applyFont="1" applyFill="1" applyBorder="1" applyAlignment="1" applyProtection="1">
      <alignment vertical="top" wrapText="1" readingOrder="1"/>
      <protection locked="0"/>
    </xf>
    <xf numFmtId="165" fontId="12" fillId="0" borderId="168" xfId="0" applyNumberFormat="1" applyFont="1" applyFill="1" applyBorder="1" applyAlignment="1" applyProtection="1">
      <alignment vertical="top" wrapText="1" readingOrder="1"/>
      <protection locked="0"/>
    </xf>
    <xf numFmtId="165" fontId="12" fillId="0" borderId="148" xfId="0" applyNumberFormat="1" applyFont="1" applyFill="1" applyBorder="1" applyAlignment="1" applyProtection="1">
      <alignment vertical="top" wrapText="1" readingOrder="1"/>
      <protection locked="0"/>
    </xf>
    <xf numFmtId="165" fontId="3" fillId="0" borderId="199" xfId="0" applyNumberFormat="1" applyFont="1" applyFill="1" applyBorder="1" applyAlignment="1" applyProtection="1">
      <alignment vertical="top" wrapText="1" readingOrder="1"/>
      <protection locked="0"/>
    </xf>
    <xf numFmtId="165" fontId="3" fillId="0" borderId="197" xfId="0" applyNumberFormat="1" applyFont="1" applyFill="1" applyBorder="1" applyAlignment="1" applyProtection="1">
      <alignment vertical="top" wrapText="1" readingOrder="1"/>
      <protection locked="0"/>
    </xf>
    <xf numFmtId="165" fontId="3" fillId="0" borderId="141" xfId="0" applyNumberFormat="1" applyFont="1" applyFill="1" applyBorder="1" applyAlignment="1" applyProtection="1">
      <alignment vertical="top" wrapText="1" readingOrder="1"/>
      <protection locked="0"/>
    </xf>
    <xf numFmtId="165" fontId="3" fillId="0" borderId="128" xfId="0" applyNumberFormat="1" applyFont="1" applyFill="1" applyBorder="1" applyAlignment="1" applyProtection="1">
      <alignment vertical="top" wrapText="1" readingOrder="1"/>
      <protection locked="0"/>
    </xf>
    <xf numFmtId="165" fontId="3" fillId="0" borderId="320" xfId="0" applyNumberFormat="1" applyFont="1" applyFill="1" applyBorder="1" applyAlignment="1" applyProtection="1">
      <alignment horizontal="right" vertical="top" wrapText="1" readingOrder="1"/>
      <protection locked="0"/>
    </xf>
    <xf numFmtId="165" fontId="3" fillId="0" borderId="320" xfId="0" applyNumberFormat="1" applyFont="1" applyFill="1" applyBorder="1" applyAlignment="1" applyProtection="1">
      <alignment horizontal="center" vertical="top" wrapText="1" readingOrder="1"/>
      <protection locked="0"/>
    </xf>
    <xf numFmtId="165" fontId="5" fillId="0" borderId="200" xfId="0" applyNumberFormat="1" applyFont="1" applyFill="1" applyBorder="1" applyAlignment="1" applyProtection="1">
      <alignment vertical="top" wrapText="1" readingOrder="1"/>
      <protection locked="0"/>
    </xf>
    <xf numFmtId="165" fontId="3" fillId="0" borderId="201" xfId="0" applyNumberFormat="1" applyFont="1" applyFill="1" applyBorder="1" applyAlignment="1" applyProtection="1">
      <alignment vertical="top" wrapText="1" readingOrder="1"/>
      <protection locked="0"/>
    </xf>
    <xf numFmtId="165" fontId="3" fillId="0" borderId="44" xfId="0" applyNumberFormat="1" applyFont="1" applyFill="1" applyBorder="1" applyAlignment="1" applyProtection="1">
      <alignment vertical="top" wrapText="1" readingOrder="1"/>
      <protection locked="0"/>
    </xf>
    <xf numFmtId="165" fontId="3" fillId="0" borderId="202" xfId="0" applyNumberFormat="1" applyFont="1" applyFill="1" applyBorder="1" applyAlignment="1" applyProtection="1">
      <alignment vertical="top" wrapText="1" readingOrder="1"/>
      <protection locked="0"/>
    </xf>
    <xf numFmtId="165" fontId="3" fillId="0" borderId="195" xfId="0" applyNumberFormat="1" applyFont="1" applyFill="1" applyBorder="1" applyAlignment="1" applyProtection="1">
      <alignment horizontal="right" vertical="top" wrapText="1" readingOrder="1"/>
      <protection locked="0"/>
    </xf>
    <xf numFmtId="165" fontId="3" fillId="0" borderId="203" xfId="0" applyNumberFormat="1" applyFont="1" applyFill="1" applyBorder="1" applyAlignment="1" applyProtection="1">
      <alignment vertical="top" wrapText="1" readingOrder="1"/>
      <protection locked="0"/>
    </xf>
    <xf numFmtId="165" fontId="5" fillId="0" borderId="204" xfId="0" applyNumberFormat="1" applyFont="1" applyFill="1" applyBorder="1" applyAlignment="1" applyProtection="1">
      <alignment vertical="top" wrapText="1" readingOrder="1"/>
      <protection locked="0"/>
    </xf>
    <xf numFmtId="165" fontId="5" fillId="0" borderId="121" xfId="0" applyNumberFormat="1" applyFont="1" applyFill="1" applyBorder="1" applyAlignment="1" applyProtection="1">
      <alignment vertical="top" wrapText="1" readingOrder="1"/>
      <protection locked="0"/>
    </xf>
    <xf numFmtId="165" fontId="5" fillId="0" borderId="191" xfId="0" applyNumberFormat="1" applyFont="1" applyFill="1" applyBorder="1" applyAlignment="1" applyProtection="1">
      <alignment vertical="top" wrapText="1" readingOrder="1"/>
      <protection locked="0"/>
    </xf>
    <xf numFmtId="165" fontId="3" fillId="0" borderId="200" xfId="0" applyNumberFormat="1" applyFont="1" applyFill="1" applyBorder="1" applyAlignment="1" applyProtection="1">
      <alignment horizontal="right" vertical="top" wrapText="1" readingOrder="1"/>
      <protection locked="0"/>
    </xf>
    <xf numFmtId="165" fontId="3" fillId="0" borderId="166" xfId="0" applyNumberFormat="1" applyFont="1" applyFill="1" applyBorder="1" applyAlignment="1" applyProtection="1">
      <alignment horizontal="right" vertical="top" wrapText="1" readingOrder="1"/>
      <protection locked="0"/>
    </xf>
    <xf numFmtId="165" fontId="3" fillId="0" borderId="168" xfId="0" applyNumberFormat="1" applyFont="1" applyFill="1" applyBorder="1" applyAlignment="1" applyProtection="1">
      <alignment horizontal="right" vertical="top" wrapText="1" readingOrder="1"/>
      <protection locked="0"/>
    </xf>
    <xf numFmtId="165" fontId="5" fillId="0" borderId="146" xfId="0" applyNumberFormat="1" applyFont="1" applyFill="1" applyBorder="1" applyAlignment="1" applyProtection="1">
      <alignment vertical="top" wrapText="1" readingOrder="1"/>
      <protection locked="0"/>
    </xf>
    <xf numFmtId="165" fontId="3" fillId="0" borderId="273" xfId="0" applyNumberFormat="1" applyFont="1" applyFill="1" applyBorder="1" applyAlignment="1" applyProtection="1">
      <alignment vertical="top" wrapText="1" readingOrder="1"/>
      <protection locked="0"/>
    </xf>
    <xf numFmtId="165" fontId="5" fillId="0" borderId="206" xfId="0" applyNumberFormat="1" applyFont="1" applyFill="1" applyBorder="1" applyAlignment="1" applyProtection="1">
      <alignment vertical="top" wrapText="1" readingOrder="1"/>
      <protection locked="0"/>
    </xf>
    <xf numFmtId="165" fontId="5" fillId="0" borderId="171" xfId="0" applyNumberFormat="1" applyFont="1" applyFill="1" applyBorder="1" applyAlignment="1" applyProtection="1">
      <alignment vertical="top" wrapText="1" readingOrder="1"/>
      <protection locked="0"/>
    </xf>
    <xf numFmtId="165" fontId="3" fillId="0" borderId="205" xfId="0" applyNumberFormat="1" applyFont="1" applyFill="1" applyBorder="1" applyAlignment="1" applyProtection="1">
      <alignment vertical="top" wrapText="1" readingOrder="1"/>
      <protection locked="0"/>
    </xf>
    <xf numFmtId="166" fontId="5" fillId="0" borderId="13" xfId="0" applyNumberFormat="1" applyFont="1" applyFill="1" applyBorder="1" applyAlignment="1" applyProtection="1">
      <alignment vertical="top" wrapText="1" readingOrder="1"/>
      <protection locked="0"/>
    </xf>
    <xf numFmtId="166" fontId="5" fillId="0" borderId="80" xfId="0" applyNumberFormat="1" applyFont="1" applyFill="1" applyBorder="1" applyAlignment="1" applyProtection="1">
      <alignment vertical="top" wrapText="1" readingOrder="1"/>
      <protection locked="0"/>
    </xf>
    <xf numFmtId="166" fontId="5" fillId="0" borderId="53" xfId="0" applyNumberFormat="1" applyFont="1" applyFill="1" applyBorder="1" applyAlignment="1" applyProtection="1">
      <alignment vertical="top" wrapText="1" readingOrder="1"/>
      <protection locked="0"/>
    </xf>
    <xf numFmtId="166" fontId="5" fillId="0" borderId="5" xfId="0" applyNumberFormat="1" applyFont="1" applyFill="1" applyBorder="1" applyAlignment="1" applyProtection="1">
      <alignment vertical="top" wrapText="1" readingOrder="1"/>
      <protection locked="0"/>
    </xf>
    <xf numFmtId="166" fontId="5" fillId="0" borderId="301" xfId="0" applyNumberFormat="1" applyFont="1" applyFill="1" applyBorder="1" applyAlignment="1" applyProtection="1">
      <alignment vertical="top" wrapText="1" readingOrder="1"/>
      <protection locked="0"/>
    </xf>
    <xf numFmtId="166" fontId="5" fillId="0" borderId="3" xfId="0" applyNumberFormat="1" applyFont="1" applyFill="1" applyBorder="1" applyAlignment="1" applyProtection="1">
      <alignment vertical="top" wrapText="1" readingOrder="1"/>
      <protection locked="0"/>
    </xf>
    <xf numFmtId="0" fontId="3" fillId="0" borderId="328" xfId="0" applyFont="1" applyFill="1" applyBorder="1" applyAlignment="1" applyProtection="1">
      <alignment horizontal="center" vertical="top" wrapText="1" shrinkToFit="1"/>
      <protection locked="0"/>
    </xf>
    <xf numFmtId="0" fontId="3" fillId="0" borderId="306" xfId="0" applyFont="1" applyFill="1" applyBorder="1" applyAlignment="1" applyProtection="1">
      <alignment horizontal="center" vertical="top" wrapText="1" shrinkToFit="1"/>
      <protection locked="0"/>
    </xf>
    <xf numFmtId="0" fontId="3" fillId="0" borderId="276" xfId="0" applyFont="1" applyFill="1" applyBorder="1" applyAlignment="1" applyProtection="1">
      <alignment horizontal="center" vertical="top" wrapText="1" shrinkToFit="1"/>
      <protection locked="0"/>
    </xf>
    <xf numFmtId="0" fontId="3" fillId="0" borderId="287" xfId="0" applyFont="1" applyFill="1" applyBorder="1" applyAlignment="1" applyProtection="1">
      <alignment horizontal="center" vertical="top" wrapText="1" shrinkToFit="1"/>
      <protection locked="0"/>
    </xf>
    <xf numFmtId="0" fontId="3" fillId="0" borderId="323" xfId="0" applyFont="1" applyFill="1" applyBorder="1" applyAlignment="1" applyProtection="1">
      <alignment horizontal="center" vertical="top" wrapText="1" shrinkToFit="1"/>
      <protection locked="0"/>
    </xf>
    <xf numFmtId="0" fontId="3" fillId="0" borderId="323" xfId="0" applyFont="1" applyFill="1" applyBorder="1" applyAlignment="1" applyProtection="1">
      <alignment horizontal="left" vertical="top" wrapText="1" readingOrder="1"/>
      <protection locked="0"/>
    </xf>
    <xf numFmtId="0" fontId="6" fillId="0" borderId="0" xfId="0" applyFont="1" applyFill="1" applyBorder="1" applyAlignment="1" applyProtection="1">
      <alignment horizontal="center" vertical="top" wrapText="1" shrinkToFit="1"/>
      <protection locked="0"/>
    </xf>
    <xf numFmtId="0" fontId="6" fillId="0" borderId="314" xfId="0" applyFont="1" applyFill="1" applyBorder="1" applyAlignment="1" applyProtection="1">
      <alignment horizontal="center" vertical="top" wrapText="1" shrinkToFit="1"/>
      <protection locked="0"/>
    </xf>
    <xf numFmtId="0" fontId="3" fillId="0" borderId="279" xfId="0" applyFont="1" applyFill="1" applyBorder="1" applyAlignment="1" applyProtection="1">
      <alignment horizontal="left" vertical="top" wrapText="1" readingOrder="1"/>
      <protection locked="0"/>
    </xf>
    <xf numFmtId="0" fontId="3" fillId="0" borderId="313" xfId="0" applyFont="1" applyFill="1" applyBorder="1" applyAlignment="1" applyProtection="1">
      <alignment horizontal="left" vertical="top" wrapText="1" readingOrder="1"/>
      <protection locked="0"/>
    </xf>
    <xf numFmtId="0" fontId="4" fillId="0" borderId="276" xfId="0" applyFont="1" applyFill="1" applyBorder="1" applyAlignment="1">
      <alignment horizontal="center" vertical="top" wrapText="1"/>
    </xf>
    <xf numFmtId="0" fontId="4" fillId="0" borderId="308" xfId="0" applyFont="1" applyFill="1" applyBorder="1" applyAlignment="1">
      <alignment horizontal="center" vertical="top" wrapText="1"/>
    </xf>
    <xf numFmtId="0" fontId="3" fillId="0" borderId="281" xfId="0" applyFont="1" applyFill="1" applyBorder="1" applyAlignment="1" applyProtection="1">
      <alignment horizontal="left" vertical="top" wrapText="1" readingOrder="1"/>
      <protection locked="0"/>
    </xf>
    <xf numFmtId="0" fontId="3" fillId="0" borderId="306" xfId="0" applyFont="1" applyFill="1" applyBorder="1" applyAlignment="1" applyProtection="1">
      <alignment horizontal="left" vertical="top" wrapText="1" readingOrder="1"/>
      <protection locked="0"/>
    </xf>
    <xf numFmtId="0" fontId="3" fillId="0" borderId="301" xfId="0" applyFont="1" applyFill="1" applyBorder="1" applyAlignment="1" applyProtection="1">
      <alignment horizontal="center" vertical="top" wrapText="1" readingOrder="1"/>
      <protection locked="0"/>
    </xf>
    <xf numFmtId="0" fontId="3" fillId="0" borderId="276" xfId="0" applyFont="1" applyFill="1" applyBorder="1" applyAlignment="1" applyProtection="1">
      <alignment horizontal="center" vertical="top" wrapText="1" readingOrder="1"/>
      <protection locked="0"/>
    </xf>
    <xf numFmtId="0" fontId="6" fillId="0" borderId="117" xfId="0" applyFont="1" applyFill="1" applyBorder="1" applyAlignment="1" applyProtection="1">
      <alignment horizontal="center" vertical="top" wrapText="1" shrinkToFit="1" readingOrder="1"/>
      <protection locked="0"/>
    </xf>
    <xf numFmtId="0" fontId="6" fillId="0" borderId="174" xfId="0" applyFont="1" applyFill="1" applyBorder="1" applyAlignment="1" applyProtection="1">
      <alignment horizontal="center" vertical="top" wrapText="1" shrinkToFit="1" readingOrder="1"/>
      <protection locked="0"/>
    </xf>
    <xf numFmtId="0" fontId="4" fillId="0" borderId="218" xfId="0" applyFont="1" applyFill="1" applyBorder="1" applyAlignment="1">
      <alignment horizontal="center" vertical="top" wrapText="1"/>
    </xf>
    <xf numFmtId="0" fontId="4" fillId="0" borderId="265" xfId="0" applyFont="1" applyFill="1" applyBorder="1" applyAlignment="1">
      <alignment horizontal="center" vertical="top" wrapText="1"/>
    </xf>
    <xf numFmtId="0" fontId="6" fillId="0" borderId="218" xfId="0" applyFont="1" applyFill="1" applyBorder="1" applyAlignment="1" applyProtection="1">
      <alignment horizontal="center" vertical="top" wrapText="1" shrinkToFit="1"/>
      <protection locked="0"/>
    </xf>
    <xf numFmtId="0" fontId="6" fillId="0" borderId="205" xfId="0" applyFont="1" applyFill="1" applyBorder="1" applyAlignment="1" applyProtection="1">
      <alignment horizontal="center" vertical="top" wrapText="1" shrinkToFit="1"/>
      <protection locked="0"/>
    </xf>
    <xf numFmtId="0" fontId="3" fillId="0" borderId="323" xfId="1" applyFont="1" applyFill="1" applyBorder="1" applyAlignment="1">
      <alignment horizontal="center" vertical="top" wrapText="1"/>
    </xf>
    <xf numFmtId="0" fontId="6" fillId="0" borderId="331" xfId="0" applyFont="1" applyFill="1" applyBorder="1" applyAlignment="1" applyProtection="1">
      <alignment horizontal="center" vertical="top" wrapText="1" shrinkToFit="1"/>
      <protection locked="0"/>
    </xf>
    <xf numFmtId="0" fontId="6" fillId="0" borderId="303" xfId="0" applyFont="1" applyFill="1" applyBorder="1" applyAlignment="1" applyProtection="1">
      <alignment horizontal="center" vertical="top" wrapText="1" shrinkToFit="1"/>
      <protection locked="0"/>
    </xf>
    <xf numFmtId="0" fontId="4" fillId="0" borderId="290" xfId="0" applyFont="1" applyFill="1" applyBorder="1" applyAlignment="1" applyProtection="1">
      <alignment horizontal="center" vertical="top" wrapText="1" shrinkToFit="1"/>
      <protection locked="0"/>
    </xf>
    <xf numFmtId="0" fontId="4" fillId="0" borderId="330" xfId="0" applyFont="1" applyFill="1" applyBorder="1" applyAlignment="1" applyProtection="1">
      <alignment horizontal="center" vertical="top" wrapText="1" shrinkToFit="1"/>
      <protection locked="0"/>
    </xf>
    <xf numFmtId="0" fontId="4" fillId="0" borderId="247" xfId="0" applyFont="1" applyFill="1" applyBorder="1" applyAlignment="1" applyProtection="1">
      <alignment horizontal="center" vertical="top" wrapText="1" shrinkToFit="1"/>
      <protection locked="0"/>
    </xf>
    <xf numFmtId="0" fontId="4" fillId="0" borderId="255" xfId="0" applyFont="1" applyFill="1" applyBorder="1" applyAlignment="1" applyProtection="1">
      <alignment horizontal="center" vertical="top" wrapText="1" shrinkToFit="1"/>
      <protection locked="0"/>
    </xf>
    <xf numFmtId="0" fontId="3" fillId="0" borderId="266" xfId="0" applyFont="1" applyFill="1" applyBorder="1" applyAlignment="1" applyProtection="1">
      <alignment horizontal="center" vertical="top" wrapText="1" shrinkToFit="1"/>
      <protection locked="0"/>
    </xf>
    <xf numFmtId="0" fontId="3" fillId="0" borderId="260" xfId="0" applyFont="1" applyFill="1" applyBorder="1" applyAlignment="1" applyProtection="1">
      <alignment horizontal="center" vertical="top" wrapText="1" shrinkToFit="1"/>
      <protection locked="0"/>
    </xf>
    <xf numFmtId="0" fontId="4" fillId="0" borderId="219" xfId="0" applyFont="1" applyFill="1" applyBorder="1" applyAlignment="1" applyProtection="1">
      <alignment horizontal="center" vertical="top" wrapText="1" shrinkToFit="1"/>
      <protection locked="0"/>
    </xf>
    <xf numFmtId="0" fontId="4" fillId="0" borderId="200" xfId="0" applyFont="1" applyFill="1" applyBorder="1" applyAlignment="1" applyProtection="1">
      <alignment horizontal="center" vertical="top" wrapText="1" shrinkToFit="1"/>
      <protection locked="0"/>
    </xf>
    <xf numFmtId="0" fontId="3" fillId="0" borderId="219" xfId="0" applyFont="1" applyFill="1" applyBorder="1" applyAlignment="1">
      <alignment horizontal="center" vertical="top" wrapText="1"/>
    </xf>
    <xf numFmtId="0" fontId="3" fillId="0" borderId="200" xfId="0" applyFont="1" applyFill="1" applyBorder="1" applyAlignment="1">
      <alignment horizontal="center" vertical="top" wrapText="1"/>
    </xf>
    <xf numFmtId="0" fontId="3" fillId="0" borderId="285" xfId="0" applyFont="1" applyFill="1" applyBorder="1" applyAlignment="1" applyProtection="1">
      <alignment horizontal="center" vertical="top" wrapText="1" readingOrder="1"/>
      <protection locked="0"/>
    </xf>
    <xf numFmtId="0" fontId="3" fillId="0" borderId="286" xfId="0" applyFont="1" applyFill="1" applyBorder="1" applyAlignment="1" applyProtection="1">
      <alignment horizontal="center" vertical="top" wrapText="1" readingOrder="1"/>
      <protection locked="0"/>
    </xf>
    <xf numFmtId="0" fontId="3" fillId="0" borderId="117" xfId="0" applyFont="1" applyFill="1" applyBorder="1" applyAlignment="1" applyProtection="1">
      <alignment horizontal="center" vertical="top" wrapText="1" readingOrder="1"/>
      <protection locked="0"/>
    </xf>
    <xf numFmtId="0" fontId="3" fillId="0" borderId="206" xfId="0" applyFont="1" applyFill="1" applyBorder="1" applyAlignment="1" applyProtection="1">
      <alignment horizontal="center" vertical="top" wrapText="1" readingOrder="1"/>
      <protection locked="0"/>
    </xf>
    <xf numFmtId="14" fontId="3" fillId="0" borderId="103" xfId="0" applyNumberFormat="1" applyFont="1" applyFill="1" applyBorder="1" applyAlignment="1" applyProtection="1">
      <alignment horizontal="center" vertical="top" wrapText="1" readingOrder="1"/>
      <protection locked="0"/>
    </xf>
    <xf numFmtId="14" fontId="3" fillId="0" borderId="221" xfId="0" applyNumberFormat="1" applyFont="1" applyFill="1" applyBorder="1" applyAlignment="1" applyProtection="1">
      <alignment horizontal="center" vertical="top" wrapText="1" readingOrder="1"/>
      <protection locked="0"/>
    </xf>
    <xf numFmtId="0" fontId="6" fillId="0" borderId="117" xfId="0" applyFont="1" applyFill="1" applyBorder="1" applyAlignment="1" applyProtection="1">
      <alignment horizontal="center" vertical="top" wrapText="1" shrinkToFit="1"/>
      <protection locked="0"/>
    </xf>
    <xf numFmtId="0" fontId="6" fillId="0" borderId="174" xfId="0" applyFont="1" applyFill="1" applyBorder="1" applyAlignment="1" applyProtection="1">
      <alignment horizontal="center" vertical="top" wrapText="1" shrinkToFit="1"/>
      <protection locked="0"/>
    </xf>
    <xf numFmtId="14" fontId="6" fillId="0" borderId="117" xfId="0" applyNumberFormat="1" applyFont="1" applyFill="1" applyBorder="1" applyAlignment="1" applyProtection="1">
      <alignment horizontal="center" vertical="top" wrapText="1" shrinkToFit="1"/>
      <protection locked="0"/>
    </xf>
    <xf numFmtId="14" fontId="6" fillId="0" borderId="174" xfId="0" applyNumberFormat="1" applyFont="1" applyFill="1" applyBorder="1" applyAlignment="1" applyProtection="1">
      <alignment horizontal="center" vertical="top" wrapText="1" shrinkToFit="1"/>
      <protection locked="0"/>
    </xf>
    <xf numFmtId="14" fontId="6" fillId="0" borderId="205" xfId="0" applyNumberFormat="1" applyFont="1" applyFill="1" applyBorder="1" applyAlignment="1" applyProtection="1">
      <alignment horizontal="center" vertical="top" wrapText="1" shrinkToFit="1"/>
      <protection locked="0"/>
    </xf>
    <xf numFmtId="0" fontId="6" fillId="0" borderId="168" xfId="0" applyFont="1" applyFill="1" applyBorder="1" applyAlignment="1" applyProtection="1">
      <alignment horizontal="center" vertical="top" wrapText="1" shrinkToFit="1"/>
      <protection locked="0"/>
    </xf>
    <xf numFmtId="0" fontId="6" fillId="0" borderId="200" xfId="0" applyFont="1" applyFill="1" applyBorder="1" applyAlignment="1" applyProtection="1">
      <alignment horizontal="center" vertical="top" wrapText="1" shrinkToFit="1"/>
      <protection locked="0"/>
    </xf>
    <xf numFmtId="0" fontId="3" fillId="0" borderId="168" xfId="0" applyFont="1" applyFill="1" applyBorder="1" applyAlignment="1" applyProtection="1">
      <alignment horizontal="left" vertical="top" wrapText="1" readingOrder="1"/>
      <protection locked="0"/>
    </xf>
    <xf numFmtId="0" fontId="3" fillId="0" borderId="200" xfId="0" applyFont="1" applyFill="1" applyBorder="1" applyAlignment="1" applyProtection="1">
      <alignment horizontal="left" vertical="top" wrapText="1" readingOrder="1"/>
      <protection locked="0"/>
    </xf>
    <xf numFmtId="49" fontId="3" fillId="0" borderId="168" xfId="0" applyNumberFormat="1" applyFont="1" applyFill="1" applyBorder="1" applyAlignment="1" applyProtection="1">
      <alignment horizontal="center" vertical="top" wrapText="1" readingOrder="1"/>
      <protection locked="0"/>
    </xf>
    <xf numFmtId="49" fontId="3" fillId="0" borderId="217" xfId="0" applyNumberFormat="1" applyFont="1" applyFill="1" applyBorder="1" applyAlignment="1" applyProtection="1">
      <alignment horizontal="center" vertical="top" wrapText="1" readingOrder="1"/>
      <protection locked="0"/>
    </xf>
    <xf numFmtId="0" fontId="3" fillId="0" borderId="276" xfId="1" applyFont="1" applyFill="1" applyBorder="1" applyAlignment="1">
      <alignment horizontal="center" vertical="center" wrapText="1"/>
    </xf>
    <xf numFmtId="0" fontId="3" fillId="0" borderId="253" xfId="1" applyFont="1" applyFill="1" applyBorder="1" applyAlignment="1">
      <alignment horizontal="center" vertical="center" wrapText="1"/>
    </xf>
    <xf numFmtId="0" fontId="3" fillId="0" borderId="253" xfId="0" applyFont="1" applyFill="1" applyBorder="1" applyAlignment="1" applyProtection="1">
      <alignment horizontal="center" vertical="top" wrapText="1" shrinkToFit="1"/>
      <protection locked="0"/>
    </xf>
    <xf numFmtId="0" fontId="4" fillId="0" borderId="168" xfId="0" applyFont="1" applyFill="1" applyBorder="1" applyAlignment="1" applyProtection="1">
      <alignment horizontal="center" vertical="top" wrapText="1" shrinkToFit="1" readingOrder="1"/>
      <protection locked="0"/>
    </xf>
    <xf numFmtId="0" fontId="4" fillId="0" borderId="166" xfId="0" applyFont="1" applyFill="1" applyBorder="1" applyAlignment="1" applyProtection="1">
      <alignment horizontal="center" vertical="top" wrapText="1" shrinkToFit="1" readingOrder="1"/>
      <protection locked="0"/>
    </xf>
    <xf numFmtId="14" fontId="6" fillId="0" borderId="168" xfId="0" applyNumberFormat="1" applyFont="1" applyFill="1" applyBorder="1" applyAlignment="1" applyProtection="1">
      <alignment horizontal="center" vertical="top" wrapText="1" shrinkToFit="1" readingOrder="1"/>
      <protection locked="0"/>
    </xf>
    <xf numFmtId="14" fontId="6" fillId="0" borderId="166" xfId="0" applyNumberFormat="1" applyFont="1" applyFill="1" applyBorder="1" applyAlignment="1" applyProtection="1">
      <alignment horizontal="center" vertical="top" wrapText="1" shrinkToFit="1" readingOrder="1"/>
      <protection locked="0"/>
    </xf>
    <xf numFmtId="0" fontId="3" fillId="0" borderId="168" xfId="0" applyFont="1" applyFill="1" applyBorder="1" applyAlignment="1" applyProtection="1">
      <alignment horizontal="center" vertical="top" wrapText="1" readingOrder="1"/>
      <protection locked="0"/>
    </xf>
    <xf numFmtId="0" fontId="3" fillId="0" borderId="253" xfId="0" applyFont="1" applyFill="1" applyBorder="1" applyAlignment="1" applyProtection="1">
      <alignment horizontal="center" vertical="top" wrapText="1" readingOrder="1"/>
      <protection locked="0"/>
    </xf>
    <xf numFmtId="0" fontId="3" fillId="0" borderId="281" xfId="0" applyFont="1" applyFill="1" applyBorder="1" applyAlignment="1" applyProtection="1">
      <alignment horizontal="center" vertical="top" wrapText="1" readingOrder="1"/>
      <protection locked="0"/>
    </xf>
    <xf numFmtId="0" fontId="3" fillId="0" borderId="273" xfId="0" applyFont="1" applyFill="1" applyBorder="1" applyAlignment="1" applyProtection="1">
      <alignment horizontal="center" vertical="top" wrapText="1" readingOrder="1"/>
      <protection locked="0"/>
    </xf>
    <xf numFmtId="0" fontId="3" fillId="0" borderId="336" xfId="0" applyFont="1" applyFill="1" applyBorder="1" applyAlignment="1">
      <alignment horizontal="center" vertical="top" wrapText="1"/>
    </xf>
    <xf numFmtId="0" fontId="3" fillId="0" borderId="337" xfId="0" applyFont="1" applyFill="1" applyBorder="1" applyAlignment="1">
      <alignment horizontal="center" vertical="top" wrapText="1"/>
    </xf>
    <xf numFmtId="0" fontId="3" fillId="0" borderId="128" xfId="0" applyFont="1" applyFill="1" applyBorder="1" applyAlignment="1" applyProtection="1">
      <alignment horizontal="left" vertical="top" wrapText="1" readingOrder="1"/>
      <protection locked="0"/>
    </xf>
    <xf numFmtId="0" fontId="3" fillId="0" borderId="203" xfId="0" applyFont="1" applyFill="1" applyBorder="1" applyAlignment="1" applyProtection="1">
      <alignment horizontal="left" vertical="top" wrapText="1" readingOrder="1"/>
      <protection locked="0"/>
    </xf>
    <xf numFmtId="0" fontId="5" fillId="0" borderId="168" xfId="0" applyFont="1" applyFill="1" applyBorder="1" applyAlignment="1" applyProtection="1">
      <alignment horizontal="center" vertical="top" wrapText="1" readingOrder="1"/>
      <protection locked="0"/>
    </xf>
    <xf numFmtId="0" fontId="5" fillId="0" borderId="200" xfId="0" applyFont="1" applyFill="1" applyBorder="1" applyAlignment="1" applyProtection="1">
      <alignment horizontal="center" vertical="top" wrapText="1" readingOrder="1"/>
      <protection locked="0"/>
    </xf>
    <xf numFmtId="165" fontId="3" fillId="0" borderId="219" xfId="0" applyNumberFormat="1" applyFont="1" applyFill="1" applyBorder="1" applyAlignment="1" applyProtection="1">
      <alignment horizontal="right" vertical="top" wrapText="1" readingOrder="1"/>
      <protection locked="0"/>
    </xf>
    <xf numFmtId="165" fontId="3" fillId="0" borderId="148" xfId="0" applyNumberFormat="1" applyFont="1" applyFill="1" applyBorder="1" applyAlignment="1" applyProtection="1">
      <alignment horizontal="right" vertical="top" wrapText="1" readingOrder="1"/>
      <protection locked="0"/>
    </xf>
    <xf numFmtId="0" fontId="3" fillId="0" borderId="219" xfId="0" applyFont="1" applyFill="1" applyBorder="1" applyAlignment="1" applyProtection="1">
      <alignment horizontal="left" vertical="top" wrapText="1" readingOrder="1"/>
      <protection locked="0"/>
    </xf>
    <xf numFmtId="0" fontId="3" fillId="0" borderId="148" xfId="0" applyFont="1" applyFill="1" applyBorder="1" applyAlignment="1" applyProtection="1">
      <alignment horizontal="left" vertical="top" wrapText="1" readingOrder="1"/>
      <protection locked="0"/>
    </xf>
    <xf numFmtId="0" fontId="3" fillId="0" borderId="219" xfId="0" applyFont="1" applyFill="1" applyBorder="1" applyAlignment="1" applyProtection="1">
      <alignment horizontal="center" vertical="top" wrapText="1" shrinkToFit="1"/>
      <protection locked="0"/>
    </xf>
    <xf numFmtId="0" fontId="3" fillId="0" borderId="148" xfId="0" applyFont="1" applyFill="1" applyBorder="1" applyAlignment="1" applyProtection="1">
      <alignment horizontal="center" vertical="top" wrapText="1" shrinkToFit="1"/>
      <protection locked="0"/>
    </xf>
    <xf numFmtId="0" fontId="3" fillId="0" borderId="166" xfId="0" applyFont="1" applyFill="1" applyBorder="1" applyAlignment="1">
      <alignment horizontal="center" vertical="top" wrapText="1"/>
    </xf>
    <xf numFmtId="49" fontId="3" fillId="0" borderId="219" xfId="0" applyNumberFormat="1" applyFont="1" applyFill="1" applyBorder="1" applyAlignment="1" applyProtection="1">
      <alignment horizontal="center" vertical="top" wrapText="1" readingOrder="1"/>
      <protection locked="0"/>
    </xf>
    <xf numFmtId="49" fontId="3" fillId="0" borderId="148" xfId="0" applyNumberFormat="1" applyFont="1" applyFill="1" applyBorder="1" applyAlignment="1" applyProtection="1">
      <alignment horizontal="center" vertical="top" wrapText="1" readingOrder="1"/>
      <protection locked="0"/>
    </xf>
    <xf numFmtId="0" fontId="3" fillId="0" borderId="219" xfId="0" applyFont="1" applyFill="1" applyBorder="1" applyAlignment="1" applyProtection="1">
      <alignment horizontal="center" vertical="top" wrapText="1" readingOrder="1"/>
      <protection locked="0"/>
    </xf>
    <xf numFmtId="0" fontId="3" fillId="0" borderId="148" xfId="0" applyFont="1" applyFill="1" applyBorder="1" applyAlignment="1" applyProtection="1">
      <alignment horizontal="center" vertical="top" wrapText="1" readingOrder="1"/>
      <protection locked="0"/>
    </xf>
    <xf numFmtId="0" fontId="3" fillId="0" borderId="242" xfId="0" applyFont="1" applyFill="1" applyBorder="1" applyAlignment="1" applyProtection="1">
      <alignment horizontal="center" vertical="top" wrapText="1" readingOrder="1"/>
      <protection locked="0"/>
    </xf>
    <xf numFmtId="0" fontId="3" fillId="0" borderId="316" xfId="0" applyFont="1" applyFill="1" applyBorder="1" applyAlignment="1" applyProtection="1">
      <alignment horizontal="center" vertical="top" wrapText="1" readingOrder="1"/>
      <protection locked="0"/>
    </xf>
    <xf numFmtId="0" fontId="3" fillId="0" borderId="316" xfId="0" applyFont="1" applyFill="1" applyBorder="1" applyAlignment="1" applyProtection="1">
      <alignment horizontal="center" vertical="top" wrapText="1" shrinkToFit="1"/>
      <protection locked="0"/>
    </xf>
    <xf numFmtId="0" fontId="3" fillId="0" borderId="301" xfId="0" applyFont="1" applyFill="1" applyBorder="1" applyAlignment="1" applyProtection="1">
      <alignment horizontal="center" vertical="top" wrapText="1" shrinkToFit="1"/>
      <protection locked="0"/>
    </xf>
    <xf numFmtId="0" fontId="3" fillId="0" borderId="200" xfId="0" applyFont="1" applyFill="1" applyBorder="1" applyAlignment="1" applyProtection="1">
      <alignment horizontal="center" vertical="top" wrapText="1" readingOrder="1"/>
      <protection locked="0"/>
    </xf>
    <xf numFmtId="49" fontId="5" fillId="0" borderId="219" xfId="0" applyNumberFormat="1" applyFont="1" applyFill="1" applyBorder="1" applyAlignment="1" applyProtection="1">
      <alignment horizontal="center" vertical="top" wrapText="1" readingOrder="1"/>
      <protection locked="0"/>
    </xf>
    <xf numFmtId="49" fontId="5" fillId="0" borderId="200" xfId="0" applyNumberFormat="1" applyFont="1" applyFill="1" applyBorder="1" applyAlignment="1" applyProtection="1">
      <alignment horizontal="center" vertical="top" wrapText="1" readingOrder="1"/>
      <protection locked="0"/>
    </xf>
    <xf numFmtId="49" fontId="5" fillId="0" borderId="220" xfId="0" applyNumberFormat="1" applyFont="1" applyFill="1" applyBorder="1" applyAlignment="1" applyProtection="1">
      <alignment horizontal="center" vertical="top" wrapText="1" readingOrder="1"/>
      <protection locked="0"/>
    </xf>
    <xf numFmtId="49" fontId="5" fillId="0" borderId="203" xfId="0" applyNumberFormat="1" applyFont="1" applyFill="1" applyBorder="1" applyAlignment="1" applyProtection="1">
      <alignment horizontal="center" vertical="top" wrapText="1" readingOrder="1"/>
      <protection locked="0"/>
    </xf>
    <xf numFmtId="0" fontId="3" fillId="0" borderId="300" xfId="0" applyFont="1" applyFill="1" applyBorder="1" applyAlignment="1">
      <alignment horizontal="center" vertical="top" wrapText="1"/>
    </xf>
    <xf numFmtId="0" fontId="3" fillId="0" borderId="316" xfId="0" applyFont="1" applyFill="1" applyBorder="1" applyAlignment="1">
      <alignment horizontal="center" vertical="top" wrapText="1"/>
    </xf>
    <xf numFmtId="0" fontId="3" fillId="0" borderId="328" xfId="0" applyFont="1" applyFill="1" applyBorder="1" applyAlignment="1" applyProtection="1">
      <alignment horizontal="center" vertical="top" wrapText="1" readingOrder="1"/>
      <protection locked="0"/>
    </xf>
    <xf numFmtId="0" fontId="3" fillId="0" borderId="306" xfId="0" applyFont="1" applyFill="1" applyBorder="1" applyAlignment="1" applyProtection="1">
      <alignment horizontal="center" vertical="top" wrapText="1" readingOrder="1"/>
      <protection locked="0"/>
    </xf>
    <xf numFmtId="0" fontId="3" fillId="0" borderId="218" xfId="0" applyFont="1" applyFill="1" applyBorder="1" applyAlignment="1" applyProtection="1">
      <alignment horizontal="center" vertical="top" wrapText="1" readingOrder="1"/>
      <protection locked="0"/>
    </xf>
    <xf numFmtId="0" fontId="3" fillId="0" borderId="205" xfId="0" applyFont="1" applyFill="1" applyBorder="1" applyAlignment="1" applyProtection="1">
      <alignment horizontal="center" vertical="top" wrapText="1" readingOrder="1"/>
      <protection locked="0"/>
    </xf>
    <xf numFmtId="0" fontId="3" fillId="0" borderId="246" xfId="0" applyFont="1" applyFill="1" applyBorder="1" applyAlignment="1">
      <alignment horizontal="center" vertical="top" wrapText="1"/>
    </xf>
    <xf numFmtId="0" fontId="3" fillId="0" borderId="166" xfId="0" applyFont="1" applyFill="1" applyBorder="1" applyAlignment="1" applyProtection="1">
      <alignment horizontal="center" vertical="top" wrapText="1" readingOrder="1"/>
      <protection locked="0"/>
    </xf>
    <xf numFmtId="0" fontId="3" fillId="0" borderId="246" xfId="0" applyFont="1" applyFill="1" applyBorder="1" applyAlignment="1" applyProtection="1">
      <alignment horizontal="center" vertical="top" wrapText="1" readingOrder="1"/>
      <protection locked="0"/>
    </xf>
    <xf numFmtId="0" fontId="3" fillId="0" borderId="222" xfId="0" applyFont="1" applyFill="1" applyBorder="1" applyAlignment="1" applyProtection="1">
      <alignment horizontal="left" vertical="top" wrapText="1" readingOrder="1"/>
      <protection locked="0"/>
    </xf>
    <xf numFmtId="0" fontId="3" fillId="0" borderId="182" xfId="0" applyFont="1" applyFill="1" applyBorder="1" applyAlignment="1" applyProtection="1">
      <alignment horizontal="left" vertical="top" wrapText="1" readingOrder="1"/>
      <protection locked="0"/>
    </xf>
    <xf numFmtId="0" fontId="6" fillId="0" borderId="290" xfId="0" applyFont="1" applyFill="1" applyBorder="1" applyAlignment="1" applyProtection="1">
      <alignment horizontal="center" vertical="top" wrapText="1" shrinkToFit="1"/>
      <protection locked="0"/>
    </xf>
    <xf numFmtId="0" fontId="3" fillId="0" borderId="276" xfId="0" applyFont="1" applyFill="1" applyBorder="1" applyAlignment="1">
      <alignment horizontal="center" vertical="top" wrapText="1"/>
    </xf>
    <xf numFmtId="0" fontId="3" fillId="0" borderId="321" xfId="0" applyFont="1" applyFill="1" applyBorder="1" applyAlignment="1">
      <alignment horizontal="center" vertical="top" wrapText="1"/>
    </xf>
    <xf numFmtId="0" fontId="3" fillId="0" borderId="183" xfId="0" applyFont="1" applyFill="1" applyBorder="1" applyAlignment="1" applyProtection="1">
      <alignment horizontal="center" vertical="top" wrapText="1" readingOrder="1"/>
      <protection locked="0"/>
    </xf>
    <xf numFmtId="0" fontId="3" fillId="0" borderId="193" xfId="0" applyFont="1" applyFill="1" applyBorder="1" applyAlignment="1" applyProtection="1">
      <alignment horizontal="left" vertical="top" wrapText="1" readingOrder="1"/>
      <protection locked="0"/>
    </xf>
    <xf numFmtId="0" fontId="3" fillId="0" borderId="323" xfId="0" applyFont="1" applyFill="1" applyBorder="1" applyAlignment="1" applyProtection="1">
      <alignment horizontal="center" vertical="top" wrapText="1" readingOrder="1"/>
      <protection locked="0"/>
    </xf>
    <xf numFmtId="0" fontId="3" fillId="0" borderId="174" xfId="0" applyFont="1" applyFill="1" applyBorder="1" applyAlignment="1" applyProtection="1">
      <alignment horizontal="left" vertical="top" wrapText="1" readingOrder="1"/>
      <protection locked="0"/>
    </xf>
    <xf numFmtId="0" fontId="3" fillId="0" borderId="308" xfId="0" applyFont="1" applyFill="1" applyBorder="1" applyAlignment="1" applyProtection="1">
      <alignment horizontal="center" vertical="top" wrapText="1" readingOrder="1"/>
      <protection locked="0"/>
    </xf>
    <xf numFmtId="0" fontId="3" fillId="0" borderId="290" xfId="0" applyFont="1" applyFill="1" applyBorder="1" applyAlignment="1" applyProtection="1">
      <alignment horizontal="center" vertical="top" wrapText="1" readingOrder="1"/>
      <protection locked="0"/>
    </xf>
    <xf numFmtId="0" fontId="3" fillId="0" borderId="255" xfId="0" applyFont="1" applyFill="1" applyBorder="1" applyAlignment="1" applyProtection="1">
      <alignment horizontal="center" vertical="top" wrapText="1" readingOrder="1"/>
      <protection locked="0"/>
    </xf>
    <xf numFmtId="0" fontId="3" fillId="0" borderId="226" xfId="0" applyFont="1" applyFill="1" applyBorder="1" applyAlignment="1" applyProtection="1">
      <alignment horizontal="center" vertical="top" wrapText="1" readingOrder="1"/>
      <protection locked="0"/>
    </xf>
    <xf numFmtId="0" fontId="3" fillId="0" borderId="193" xfId="0" applyFont="1" applyFill="1" applyBorder="1" applyAlignment="1" applyProtection="1">
      <alignment horizontal="center" vertical="top" wrapText="1" readingOrder="1"/>
      <protection locked="0"/>
    </xf>
    <xf numFmtId="0" fontId="3" fillId="0" borderId="218" xfId="0" applyFont="1" applyFill="1" applyBorder="1" applyAlignment="1" applyProtection="1">
      <alignment horizontal="left" vertical="top" wrapText="1" readingOrder="1"/>
      <protection locked="0"/>
    </xf>
    <xf numFmtId="0" fontId="3" fillId="0" borderId="205" xfId="0" applyFont="1" applyFill="1" applyBorder="1" applyAlignment="1" applyProtection="1">
      <alignment horizontal="left" vertical="top" wrapText="1" readingOrder="1"/>
      <protection locked="0"/>
    </xf>
    <xf numFmtId="0" fontId="6" fillId="0" borderId="277" xfId="0" applyFont="1" applyFill="1" applyBorder="1" applyAlignment="1" applyProtection="1">
      <alignment horizontal="center" vertical="top" wrapText="1" shrinkToFit="1"/>
      <protection locked="0"/>
    </xf>
    <xf numFmtId="0" fontId="6" fillId="0" borderId="238" xfId="0" applyFont="1" applyFill="1" applyBorder="1" applyAlignment="1" applyProtection="1">
      <alignment horizontal="center" vertical="top" wrapText="1" shrinkToFit="1"/>
      <protection locked="0"/>
    </xf>
    <xf numFmtId="0" fontId="6" fillId="0" borderId="166" xfId="0" applyFont="1" applyFill="1" applyBorder="1" applyAlignment="1" applyProtection="1">
      <alignment horizontal="center" vertical="top" wrapText="1" shrinkToFit="1"/>
      <protection locked="0"/>
    </xf>
    <xf numFmtId="0" fontId="6" fillId="0" borderId="183" xfId="0" applyFont="1" applyFill="1" applyBorder="1" applyAlignment="1" applyProtection="1">
      <alignment horizontal="center" vertical="top" wrapText="1" shrinkToFit="1"/>
      <protection locked="0"/>
    </xf>
    <xf numFmtId="0" fontId="3" fillId="0" borderId="273" xfId="0" applyFont="1" applyFill="1" applyBorder="1" applyAlignment="1" applyProtection="1">
      <alignment horizontal="left" vertical="top" wrapText="1" readingOrder="1"/>
      <protection locked="0"/>
    </xf>
    <xf numFmtId="0" fontId="3" fillId="0" borderId="206" xfId="0" applyFont="1" applyFill="1" applyBorder="1" applyAlignment="1" applyProtection="1">
      <alignment horizontal="left" vertical="top" wrapText="1" readingOrder="1"/>
      <protection locked="0"/>
    </xf>
    <xf numFmtId="0" fontId="3" fillId="0" borderId="168" xfId="0" applyFont="1" applyFill="1" applyBorder="1" applyAlignment="1" applyProtection="1">
      <alignment horizontal="center" vertical="top" wrapText="1" shrinkToFit="1"/>
      <protection locked="0"/>
    </xf>
    <xf numFmtId="0" fontId="3" fillId="0" borderId="166" xfId="0" applyFont="1" applyFill="1" applyBorder="1" applyAlignment="1" applyProtection="1">
      <alignment horizontal="center" vertical="top" wrapText="1" shrinkToFit="1"/>
      <protection locked="0"/>
    </xf>
    <xf numFmtId="0" fontId="3" fillId="0" borderId="183" xfId="0" applyFont="1" applyFill="1" applyBorder="1" applyAlignment="1" applyProtection="1">
      <alignment horizontal="center" vertical="top" wrapText="1" shrinkToFit="1"/>
      <protection locked="0"/>
    </xf>
    <xf numFmtId="14" fontId="3" fillId="0" borderId="168" xfId="0" applyNumberFormat="1" applyFont="1" applyFill="1" applyBorder="1" applyAlignment="1" applyProtection="1">
      <alignment horizontal="center" vertical="top" wrapText="1" shrinkToFit="1"/>
      <protection locked="0"/>
    </xf>
    <xf numFmtId="14" fontId="3" fillId="0" borderId="166" xfId="0" applyNumberFormat="1" applyFont="1" applyFill="1" applyBorder="1" applyAlignment="1" applyProtection="1">
      <alignment horizontal="center" vertical="top" wrapText="1" shrinkToFit="1"/>
      <protection locked="0"/>
    </xf>
    <xf numFmtId="14" fontId="3" fillId="0" borderId="183" xfId="0" applyNumberFormat="1" applyFont="1" applyFill="1" applyBorder="1" applyAlignment="1" applyProtection="1">
      <alignment horizontal="center" vertical="top" wrapText="1" shrinkToFit="1"/>
      <protection locked="0"/>
    </xf>
    <xf numFmtId="0" fontId="3" fillId="0" borderId="156" xfId="0" applyFont="1" applyFill="1" applyBorder="1" applyAlignment="1" applyProtection="1">
      <alignment horizontal="left" vertical="top" wrapText="1" readingOrder="1"/>
      <protection locked="0"/>
    </xf>
    <xf numFmtId="0" fontId="3" fillId="0" borderId="224" xfId="0" applyFont="1" applyFill="1" applyBorder="1" applyAlignment="1" applyProtection="1">
      <alignment horizontal="left" vertical="top" wrapText="1" readingOrder="1"/>
      <protection locked="0"/>
    </xf>
    <xf numFmtId="49" fontId="3" fillId="0" borderId="200" xfId="0" applyNumberFormat="1" applyFont="1" applyFill="1" applyBorder="1" applyAlignment="1" applyProtection="1">
      <alignment horizontal="center" vertical="top" wrapText="1" readingOrder="1"/>
      <protection locked="0"/>
    </xf>
    <xf numFmtId="0" fontId="3" fillId="0" borderId="287" xfId="0" applyFont="1" applyFill="1" applyBorder="1" applyAlignment="1" applyProtection="1">
      <alignment horizontal="center" vertical="top" wrapText="1" readingOrder="1"/>
      <protection locked="0"/>
    </xf>
    <xf numFmtId="0" fontId="4" fillId="0" borderId="278" xfId="0" applyFont="1" applyFill="1" applyBorder="1" applyAlignment="1">
      <alignment horizontal="center" vertical="top" wrapText="1"/>
    </xf>
    <xf numFmtId="0" fontId="4" fillId="0" borderId="305" xfId="0" applyFont="1" applyFill="1" applyBorder="1" applyAlignment="1">
      <alignment horizontal="center" vertical="top" wrapText="1"/>
    </xf>
    <xf numFmtId="0" fontId="6" fillId="0" borderId="253" xfId="0" applyFont="1" applyFill="1" applyBorder="1" applyAlignment="1" applyProtection="1">
      <alignment horizontal="center" vertical="top" wrapText="1" shrinkToFit="1"/>
      <protection locked="0"/>
    </xf>
    <xf numFmtId="0" fontId="6" fillId="0" borderId="287" xfId="0" applyFont="1" applyFill="1" applyBorder="1" applyAlignment="1" applyProtection="1">
      <alignment horizontal="center" vertical="top" wrapText="1" shrinkToFit="1"/>
      <protection locked="0"/>
    </xf>
    <xf numFmtId="0" fontId="6" fillId="0" borderId="282" xfId="0" applyFont="1" applyFill="1" applyBorder="1" applyAlignment="1" applyProtection="1">
      <alignment horizontal="center" vertical="top" wrapText="1" shrinkToFit="1"/>
      <protection locked="0"/>
    </xf>
    <xf numFmtId="0" fontId="6" fillId="0" borderId="307" xfId="0" applyFont="1" applyFill="1" applyBorder="1" applyAlignment="1" applyProtection="1">
      <alignment horizontal="center" vertical="top" wrapText="1" shrinkToFit="1"/>
      <protection locked="0"/>
    </xf>
    <xf numFmtId="14" fontId="6" fillId="0" borderId="276" xfId="0" applyNumberFormat="1" applyFont="1" applyFill="1" applyBorder="1" applyAlignment="1" applyProtection="1">
      <alignment horizontal="center" vertical="top" wrapText="1" shrinkToFit="1"/>
      <protection locked="0"/>
    </xf>
    <xf numFmtId="14" fontId="6" fillId="0" borderId="253" xfId="0" applyNumberFormat="1" applyFont="1" applyFill="1" applyBorder="1" applyAlignment="1" applyProtection="1">
      <alignment horizontal="center" vertical="top" wrapText="1" shrinkToFit="1"/>
      <protection locked="0"/>
    </xf>
    <xf numFmtId="14" fontId="6" fillId="0" borderId="287" xfId="0" applyNumberFormat="1" applyFont="1" applyFill="1" applyBorder="1" applyAlignment="1" applyProtection="1">
      <alignment horizontal="center" vertical="top" wrapText="1" shrinkToFit="1"/>
      <protection locked="0"/>
    </xf>
    <xf numFmtId="0" fontId="3" fillId="0" borderId="294" xfId="0" applyFont="1" applyFill="1" applyBorder="1" applyAlignment="1">
      <alignment horizontal="center" vertical="top" wrapText="1"/>
    </xf>
    <xf numFmtId="0" fontId="4" fillId="0" borderId="287" xfId="0" applyFont="1" applyFill="1" applyBorder="1" applyAlignment="1">
      <alignment horizontal="center" vertical="top" wrapText="1"/>
    </xf>
    <xf numFmtId="0" fontId="4" fillId="0" borderId="316" xfId="0" applyFont="1" applyFill="1" applyBorder="1" applyAlignment="1">
      <alignment horizontal="center" vertical="top" wrapText="1"/>
    </xf>
    <xf numFmtId="14" fontId="6" fillId="0" borderId="218" xfId="0" applyNumberFormat="1" applyFont="1" applyFill="1" applyBorder="1" applyAlignment="1" applyProtection="1">
      <alignment horizontal="center" vertical="top" wrapText="1" shrinkToFit="1"/>
      <protection locked="0"/>
    </xf>
    <xf numFmtId="0" fontId="3" fillId="0" borderId="218" xfId="0" applyFont="1" applyFill="1" applyBorder="1" applyAlignment="1" applyProtection="1">
      <alignment horizontal="center" vertical="top" wrapText="1" shrinkToFit="1"/>
      <protection locked="0"/>
    </xf>
    <xf numFmtId="0" fontId="3" fillId="0" borderId="174" xfId="0" applyFont="1" applyFill="1" applyBorder="1" applyAlignment="1" applyProtection="1">
      <alignment horizontal="center" vertical="top" wrapText="1" shrinkToFit="1"/>
      <protection locked="0"/>
    </xf>
    <xf numFmtId="14" fontId="3" fillId="0" borderId="218" xfId="0" applyNumberFormat="1" applyFont="1" applyFill="1" applyBorder="1" applyAlignment="1" applyProtection="1">
      <alignment horizontal="center" vertical="top" wrapText="1" shrinkToFit="1"/>
      <protection locked="0"/>
    </xf>
    <xf numFmtId="14" fontId="3" fillId="0" borderId="174" xfId="0" applyNumberFormat="1" applyFont="1" applyFill="1" applyBorder="1" applyAlignment="1" applyProtection="1">
      <alignment horizontal="center" vertical="top" wrapText="1" shrinkToFit="1"/>
      <protection locked="0"/>
    </xf>
    <xf numFmtId="0" fontId="5" fillId="0" borderId="218" xfId="0" applyFont="1" applyFill="1" applyBorder="1" applyAlignment="1" applyProtection="1">
      <alignment horizontal="left" vertical="top" wrapText="1" readingOrder="1"/>
      <protection locked="0"/>
    </xf>
    <xf numFmtId="0" fontId="5" fillId="0" borderId="205" xfId="0" applyFont="1" applyFill="1" applyBorder="1" applyAlignment="1" applyProtection="1">
      <alignment horizontal="left" vertical="top" wrapText="1" readingOrder="1"/>
      <protection locked="0"/>
    </xf>
    <xf numFmtId="0" fontId="12" fillId="0" borderId="225" xfId="0" applyFont="1" applyFill="1" applyBorder="1" applyAlignment="1" applyProtection="1">
      <alignment horizontal="left" vertical="top" wrapText="1" readingOrder="1"/>
      <protection locked="0"/>
    </xf>
    <xf numFmtId="0" fontId="12" fillId="0" borderId="226" xfId="0" applyFont="1" applyFill="1" applyBorder="1" applyAlignment="1" applyProtection="1">
      <alignment horizontal="left" vertical="top" wrapText="1" readingOrder="1"/>
      <protection locked="0"/>
    </xf>
    <xf numFmtId="0" fontId="6" fillId="0" borderId="274" xfId="0" applyFont="1" applyFill="1" applyBorder="1" applyAlignment="1" applyProtection="1">
      <alignment horizontal="center" vertical="top" wrapText="1" shrinkToFit="1"/>
      <protection locked="0"/>
    </xf>
    <xf numFmtId="0" fontId="6" fillId="0" borderId="261" xfId="0" applyFont="1" applyFill="1" applyBorder="1" applyAlignment="1" applyProtection="1">
      <alignment horizontal="center" vertical="top" wrapText="1" shrinkToFit="1"/>
      <protection locked="0"/>
    </xf>
    <xf numFmtId="0" fontId="6" fillId="0" borderId="275" xfId="0" applyFont="1" applyFill="1" applyBorder="1" applyAlignment="1" applyProtection="1">
      <alignment horizontal="center" vertical="top" wrapText="1" shrinkToFit="1"/>
      <protection locked="0"/>
    </xf>
    <xf numFmtId="0" fontId="6" fillId="0" borderId="225" xfId="0" applyFont="1" applyFill="1" applyBorder="1" applyAlignment="1" applyProtection="1">
      <alignment horizontal="center" vertical="top" wrapText="1" shrinkToFit="1"/>
      <protection locked="0"/>
    </xf>
    <xf numFmtId="0" fontId="6" fillId="0" borderId="226" xfId="0" applyFont="1" applyFill="1" applyBorder="1" applyAlignment="1" applyProtection="1">
      <alignment horizontal="center" vertical="top" wrapText="1" shrinkToFit="1"/>
      <protection locked="0"/>
    </xf>
    <xf numFmtId="0" fontId="6" fillId="0" borderId="148" xfId="0" applyFont="1" applyFill="1" applyBorder="1" applyAlignment="1" applyProtection="1">
      <alignment horizontal="center" vertical="top" wrapText="1" shrinkToFit="1"/>
      <protection locked="0"/>
    </xf>
    <xf numFmtId="0" fontId="6" fillId="0" borderId="276" xfId="0" applyFont="1" applyFill="1" applyBorder="1" applyAlignment="1" applyProtection="1">
      <alignment horizontal="center" vertical="top" wrapText="1" shrinkToFit="1"/>
      <protection locked="0"/>
    </xf>
    <xf numFmtId="14" fontId="3" fillId="0" borderId="292" xfId="0" applyNumberFormat="1" applyFont="1" applyFill="1" applyBorder="1" applyAlignment="1" applyProtection="1">
      <alignment horizontal="center" vertical="top" wrapText="1" shrinkToFit="1"/>
      <protection locked="0"/>
    </xf>
    <xf numFmtId="14" fontId="6" fillId="0" borderId="225" xfId="0" applyNumberFormat="1" applyFont="1" applyFill="1" applyBorder="1" applyAlignment="1" applyProtection="1">
      <alignment horizontal="center" vertical="top" wrapText="1" shrinkToFit="1"/>
      <protection locked="0"/>
    </xf>
    <xf numFmtId="14" fontId="6" fillId="0" borderId="226" xfId="0" applyNumberFormat="1" applyFont="1" applyFill="1" applyBorder="1" applyAlignment="1" applyProtection="1">
      <alignment horizontal="center" vertical="top" wrapText="1" shrinkToFit="1"/>
      <protection locked="0"/>
    </xf>
    <xf numFmtId="14" fontId="6" fillId="0" borderId="148" xfId="0" applyNumberFormat="1" applyFont="1" applyFill="1" applyBorder="1" applyAlignment="1" applyProtection="1">
      <alignment horizontal="center" vertical="top" wrapText="1" shrinkToFit="1"/>
      <protection locked="0"/>
    </xf>
    <xf numFmtId="0" fontId="3" fillId="0" borderId="292" xfId="0" applyFont="1" applyFill="1" applyBorder="1" applyAlignment="1" applyProtection="1">
      <alignment horizontal="center" vertical="top" wrapText="1" shrinkToFit="1"/>
      <protection locked="0"/>
    </xf>
    <xf numFmtId="14" fontId="5" fillId="0" borderId="301" xfId="0" applyNumberFormat="1" applyFont="1" applyFill="1" applyBorder="1" applyAlignment="1" applyProtection="1">
      <alignment horizontal="left" vertical="top" wrapText="1" readingOrder="1"/>
      <protection locked="0"/>
    </xf>
    <xf numFmtId="0" fontId="4" fillId="0" borderId="276" xfId="0" applyFont="1" applyFill="1" applyBorder="1" applyAlignment="1" applyProtection="1">
      <alignment horizontal="center" vertical="top" wrapText="1" shrinkToFit="1"/>
      <protection locked="0"/>
    </xf>
    <xf numFmtId="0" fontId="4" fillId="0" borderId="253" xfId="0" applyFont="1" applyFill="1" applyBorder="1" applyAlignment="1" applyProtection="1">
      <alignment horizontal="center" vertical="top" wrapText="1" shrinkToFit="1"/>
      <protection locked="0"/>
    </xf>
    <xf numFmtId="0" fontId="4" fillId="0" borderId="242" xfId="0" applyFont="1" applyFill="1" applyBorder="1" applyAlignment="1" applyProtection="1">
      <alignment horizontal="center" vertical="top" wrapText="1" shrinkToFit="1"/>
      <protection locked="0"/>
    </xf>
    <xf numFmtId="0" fontId="3" fillId="0" borderId="226" xfId="0" applyFont="1" applyFill="1" applyBorder="1" applyAlignment="1" applyProtection="1">
      <alignment horizontal="center" vertical="top" wrapText="1" shrinkToFit="1"/>
      <protection locked="0"/>
    </xf>
    <xf numFmtId="14" fontId="3" fillId="0" borderId="219" xfId="0" applyNumberFormat="1" applyFont="1" applyFill="1" applyBorder="1" applyAlignment="1" applyProtection="1">
      <alignment horizontal="center" vertical="top" wrapText="1" shrinkToFit="1"/>
      <protection locked="0"/>
    </xf>
    <xf numFmtId="14" fontId="3" fillId="0" borderId="226" xfId="0" applyNumberFormat="1" applyFont="1" applyFill="1" applyBorder="1" applyAlignment="1" applyProtection="1">
      <alignment horizontal="center" vertical="top" wrapText="1" shrinkToFit="1"/>
      <protection locked="0"/>
    </xf>
    <xf numFmtId="0" fontId="5" fillId="0" borderId="174" xfId="0" applyFont="1" applyFill="1" applyBorder="1" applyAlignment="1" applyProtection="1">
      <alignment horizontal="left" vertical="top" wrapText="1" readingOrder="1"/>
      <protection locked="0"/>
    </xf>
    <xf numFmtId="0" fontId="5" fillId="0" borderId="206" xfId="0" applyFont="1" applyFill="1" applyBorder="1" applyAlignment="1" applyProtection="1">
      <alignment horizontal="left" vertical="top" wrapText="1" readingOrder="1"/>
      <protection locked="0"/>
    </xf>
    <xf numFmtId="0" fontId="6" fillId="0" borderId="281" xfId="0" applyFont="1" applyFill="1" applyBorder="1" applyAlignment="1" applyProtection="1">
      <alignment horizontal="center" vertical="top" wrapText="1" shrinkToFit="1"/>
      <protection locked="0"/>
    </xf>
    <xf numFmtId="0" fontId="6" fillId="0" borderId="292" xfId="0" applyFont="1" applyFill="1" applyBorder="1" applyAlignment="1" applyProtection="1">
      <alignment horizontal="center" vertical="top" wrapText="1" shrinkToFit="1"/>
      <protection locked="0"/>
    </xf>
    <xf numFmtId="49" fontId="3" fillId="0" borderId="174" xfId="0" applyNumberFormat="1" applyFont="1" applyFill="1" applyBorder="1" applyAlignment="1" applyProtection="1">
      <alignment horizontal="center" vertical="top" wrapText="1" readingOrder="1"/>
      <protection locked="0"/>
    </xf>
    <xf numFmtId="0" fontId="6" fillId="0" borderId="323" xfId="0" applyFont="1" applyFill="1" applyBorder="1" applyAlignment="1" applyProtection="1">
      <alignment horizontal="center" vertical="top" wrapText="1" shrinkToFit="1"/>
      <protection locked="0"/>
    </xf>
    <xf numFmtId="0" fontId="6" fillId="0" borderId="247" xfId="0" applyFont="1" applyFill="1" applyBorder="1" applyAlignment="1" applyProtection="1">
      <alignment horizontal="center" vertical="top" wrapText="1" shrinkToFit="1"/>
      <protection locked="0"/>
    </xf>
    <xf numFmtId="0" fontId="4" fillId="0" borderId="174" xfId="0" applyFont="1" applyFill="1" applyBorder="1" applyAlignment="1">
      <alignment horizontal="center" vertical="top" wrapText="1"/>
    </xf>
    <xf numFmtId="0" fontId="4" fillId="0" borderId="279" xfId="0" applyFont="1" applyFill="1" applyBorder="1" applyAlignment="1">
      <alignment horizontal="center" vertical="top" wrapText="1"/>
    </xf>
    <xf numFmtId="0" fontId="4" fillId="0" borderId="323" xfId="0" applyFont="1" applyFill="1" applyBorder="1" applyAlignment="1">
      <alignment horizontal="center" vertical="top" wrapText="1"/>
    </xf>
    <xf numFmtId="14" fontId="4" fillId="0" borderId="279" xfId="0" applyNumberFormat="1" applyFont="1" applyFill="1" applyBorder="1" applyAlignment="1">
      <alignment horizontal="center" vertical="top" wrapText="1"/>
    </xf>
    <xf numFmtId="14" fontId="4" fillId="0" borderId="323" xfId="0" applyNumberFormat="1" applyFont="1" applyFill="1" applyBorder="1" applyAlignment="1">
      <alignment horizontal="center" vertical="top" wrapText="1"/>
    </xf>
    <xf numFmtId="0" fontId="4" fillId="0" borderId="306" xfId="0" applyFont="1" applyFill="1" applyBorder="1" applyAlignment="1">
      <alignment horizontal="center" vertical="top" wrapText="1" readingOrder="1"/>
    </xf>
    <xf numFmtId="0" fontId="4" fillId="0" borderId="306" xfId="0" applyFont="1" applyFill="1" applyBorder="1" applyAlignment="1">
      <alignment horizontal="center" vertical="top" wrapText="1"/>
    </xf>
    <xf numFmtId="0" fontId="3" fillId="0" borderId="174" xfId="0" applyFont="1" applyFill="1" applyBorder="1" applyAlignment="1" applyProtection="1">
      <alignment horizontal="center" vertical="top" wrapText="1" readingOrder="1"/>
      <protection locked="0"/>
    </xf>
    <xf numFmtId="0" fontId="3" fillId="0" borderId="247" xfId="0" applyFont="1" applyFill="1" applyBorder="1" applyAlignment="1" applyProtection="1">
      <alignment horizontal="center" vertical="top" wrapText="1" readingOrder="1"/>
      <protection locked="0"/>
    </xf>
    <xf numFmtId="0" fontId="3" fillId="0" borderId="293" xfId="0" applyFont="1" applyFill="1" applyBorder="1" applyAlignment="1" applyProtection="1">
      <alignment horizontal="center" vertical="top" wrapText="1" readingOrder="1"/>
      <protection locked="0"/>
    </xf>
    <xf numFmtId="0" fontId="4" fillId="0" borderId="268" xfId="0" applyFont="1" applyFill="1" applyBorder="1" applyAlignment="1">
      <alignment horizontal="center" vertical="top" wrapText="1"/>
    </xf>
    <xf numFmtId="0" fontId="4" fillId="0" borderId="269" xfId="0" applyFont="1" applyFill="1" applyBorder="1" applyAlignment="1">
      <alignment horizontal="center" vertical="top" wrapText="1"/>
    </xf>
    <xf numFmtId="0" fontId="6" fillId="0" borderId="293" xfId="0" applyFont="1" applyFill="1" applyBorder="1" applyAlignment="1" applyProtection="1">
      <alignment horizontal="center" vertical="top" wrapText="1" shrinkToFit="1"/>
      <protection locked="0"/>
    </xf>
    <xf numFmtId="0" fontId="3" fillId="0" borderId="330" xfId="0" applyFont="1" applyFill="1" applyBorder="1" applyAlignment="1" applyProtection="1">
      <alignment horizontal="center" vertical="top" wrapText="1" readingOrder="1"/>
      <protection locked="0"/>
    </xf>
    <xf numFmtId="0" fontId="4" fillId="0" borderId="218" xfId="0" applyFont="1" applyFill="1" applyBorder="1" applyAlignment="1" applyProtection="1">
      <alignment horizontal="center" vertical="top" wrapText="1" shrinkToFit="1"/>
      <protection locked="0"/>
    </xf>
    <xf numFmtId="0" fontId="4" fillId="0" borderId="174" xfId="0" applyFont="1" applyFill="1" applyBorder="1" applyAlignment="1" applyProtection="1">
      <alignment horizontal="center" vertical="top" wrapText="1" shrinkToFit="1"/>
      <protection locked="0"/>
    </xf>
    <xf numFmtId="0" fontId="4" fillId="0" borderId="270" xfId="0" applyFont="1" applyFill="1" applyBorder="1" applyAlignment="1">
      <alignment horizontal="center" vertical="top" wrapText="1"/>
    </xf>
    <xf numFmtId="0" fontId="4" fillId="0" borderId="271" xfId="0" applyFont="1" applyFill="1" applyBorder="1" applyAlignment="1">
      <alignment horizontal="center" vertical="top" wrapText="1"/>
    </xf>
    <xf numFmtId="0" fontId="3" fillId="0" borderId="289" xfId="0" applyFont="1" applyFill="1" applyBorder="1" applyAlignment="1" applyProtection="1">
      <alignment horizontal="left" vertical="top" wrapText="1" readingOrder="1"/>
      <protection locked="0"/>
    </xf>
    <xf numFmtId="0" fontId="6" fillId="0" borderId="126" xfId="0" applyFont="1" applyFill="1" applyBorder="1" applyAlignment="1" applyProtection="1">
      <alignment horizontal="center" vertical="top" wrapText="1" shrinkToFit="1"/>
      <protection locked="0"/>
    </xf>
    <xf numFmtId="0" fontId="6" fillId="0" borderId="265" xfId="0" applyFont="1" applyFill="1" applyBorder="1" applyAlignment="1" applyProtection="1">
      <alignment horizontal="center" vertical="top" wrapText="1" shrinkToFit="1"/>
      <protection locked="0"/>
    </xf>
    <xf numFmtId="0" fontId="3" fillId="0" borderId="16" xfId="0" applyFont="1" applyFill="1" applyBorder="1" applyAlignment="1" applyProtection="1">
      <alignment horizontal="center" vertical="top" wrapText="1" shrinkToFit="1"/>
      <protection locked="0"/>
    </xf>
    <xf numFmtId="0" fontId="5" fillId="0" borderId="223" xfId="0" applyFont="1" applyFill="1" applyBorder="1" applyAlignment="1" applyProtection="1">
      <alignment horizontal="left" vertical="top" wrapText="1" readingOrder="1"/>
      <protection locked="0"/>
    </xf>
    <xf numFmtId="0" fontId="5" fillId="0" borderId="177" xfId="0" applyFont="1" applyFill="1" applyBorder="1" applyAlignment="1" applyProtection="1">
      <alignment horizontal="left" vertical="top" wrapText="1" readingOrder="1"/>
      <protection locked="0"/>
    </xf>
    <xf numFmtId="0" fontId="3" fillId="0" borderId="228" xfId="0" applyFont="1" applyFill="1" applyBorder="1" applyAlignment="1" applyProtection="1">
      <alignment horizontal="center" vertical="center" wrapText="1" shrinkToFit="1"/>
      <protection locked="0"/>
    </xf>
    <xf numFmtId="0" fontId="3" fillId="0" borderId="253" xfId="0" applyFont="1" applyFill="1" applyBorder="1" applyAlignment="1" applyProtection="1">
      <alignment horizontal="center" vertical="center" wrapText="1" shrinkToFit="1"/>
      <protection locked="0"/>
    </xf>
    <xf numFmtId="0" fontId="3" fillId="0" borderId="265" xfId="0" applyFont="1" applyFill="1" applyBorder="1" applyAlignment="1" applyProtection="1">
      <alignment horizontal="center" vertical="top" wrapText="1" readingOrder="1"/>
      <protection locked="0"/>
    </xf>
    <xf numFmtId="0" fontId="4" fillId="0" borderId="174" xfId="0" applyFont="1" applyFill="1" applyBorder="1" applyAlignment="1">
      <alignment horizontal="center" vertical="top" wrapText="1" readingOrder="1"/>
    </xf>
    <xf numFmtId="0" fontId="4" fillId="0" borderId="293" xfId="0" applyFont="1" applyFill="1" applyBorder="1" applyAlignment="1">
      <alignment horizontal="center" vertical="top" wrapText="1"/>
    </xf>
    <xf numFmtId="0" fontId="4" fillId="0" borderId="16" xfId="0" applyFont="1" applyFill="1" applyBorder="1" applyAlignment="1">
      <alignment horizontal="center" vertical="top" wrapText="1"/>
    </xf>
    <xf numFmtId="0" fontId="3" fillId="0" borderId="236" xfId="0" applyFont="1" applyFill="1" applyBorder="1" applyAlignment="1" applyProtection="1">
      <alignment horizontal="center" vertical="top" wrapText="1" readingOrder="1"/>
      <protection locked="0"/>
    </xf>
    <xf numFmtId="0" fontId="3" fillId="0" borderId="263" xfId="0" applyFont="1" applyFill="1" applyBorder="1" applyAlignment="1" applyProtection="1">
      <alignment horizontal="center" vertical="top" wrapText="1" readingOrder="1"/>
      <protection locked="0"/>
    </xf>
    <xf numFmtId="0" fontId="3" fillId="0" borderId="306" xfId="0" applyFont="1" applyFill="1" applyBorder="1" applyAlignment="1">
      <alignment horizontal="center" vertical="top" wrapText="1"/>
    </xf>
    <xf numFmtId="0" fontId="3" fillId="0" borderId="308" xfId="0" applyFont="1" applyFill="1" applyBorder="1" applyAlignment="1">
      <alignment horizontal="center" vertical="top" wrapText="1"/>
    </xf>
    <xf numFmtId="0" fontId="3" fillId="0" borderId="205" xfId="0" applyFont="1" applyFill="1" applyBorder="1" applyAlignment="1" applyProtection="1">
      <alignment horizontal="center" vertical="top" wrapText="1" shrinkToFit="1"/>
      <protection locked="0"/>
    </xf>
    <xf numFmtId="0" fontId="4" fillId="0" borderId="205" xfId="0" applyFont="1" applyFill="1" applyBorder="1" applyAlignment="1">
      <alignment horizontal="center" vertical="top" wrapText="1"/>
    </xf>
    <xf numFmtId="0" fontId="3" fillId="0" borderId="236" xfId="0" applyFont="1" applyFill="1" applyBorder="1" applyAlignment="1" applyProtection="1">
      <alignment horizontal="center" vertical="top" wrapText="1" shrinkToFit="1"/>
      <protection locked="0"/>
    </xf>
    <xf numFmtId="0" fontId="3" fillId="0" borderId="245" xfId="0" applyFont="1" applyFill="1" applyBorder="1" applyAlignment="1" applyProtection="1">
      <alignment horizontal="center" vertical="top" wrapText="1" shrinkToFit="1"/>
      <protection locked="0"/>
    </xf>
    <xf numFmtId="0" fontId="3" fillId="0" borderId="209" xfId="0" applyFont="1" applyFill="1" applyBorder="1" applyAlignment="1" applyProtection="1">
      <alignment horizontal="center" vertical="top" wrapText="1" shrinkToFit="1"/>
      <protection locked="0"/>
    </xf>
    <xf numFmtId="0" fontId="3" fillId="0" borderId="52" xfId="0" applyFont="1" applyFill="1" applyBorder="1" applyAlignment="1" applyProtection="1">
      <alignment horizontal="center" vertical="top" wrapText="1" shrinkToFit="1"/>
      <protection locked="0"/>
    </xf>
    <xf numFmtId="0" fontId="3" fillId="0" borderId="231" xfId="0" applyFont="1" applyFill="1" applyBorder="1" applyAlignment="1" applyProtection="1">
      <alignment horizontal="center" vertical="top" wrapText="1" shrinkToFit="1"/>
      <protection locked="0"/>
    </xf>
    <xf numFmtId="0" fontId="4" fillId="0" borderId="313" xfId="0" applyFont="1" applyFill="1" applyBorder="1" applyAlignment="1">
      <alignment horizontal="center" vertical="top" wrapText="1"/>
    </xf>
    <xf numFmtId="0" fontId="3" fillId="0" borderId="313" xfId="0" applyFont="1" applyFill="1" applyBorder="1" applyAlignment="1" applyProtection="1">
      <alignment horizontal="center" vertical="top" wrapText="1" readingOrder="1"/>
      <protection locked="0"/>
    </xf>
    <xf numFmtId="14" fontId="3" fillId="0" borderId="266" xfId="0" applyNumberFormat="1" applyFont="1" applyFill="1" applyBorder="1" applyAlignment="1" applyProtection="1">
      <alignment horizontal="center" vertical="top" wrapText="1" shrinkToFit="1"/>
      <protection locked="0"/>
    </xf>
    <xf numFmtId="0" fontId="3" fillId="0" borderId="226" xfId="0" applyFont="1" applyFill="1" applyBorder="1" applyAlignment="1" applyProtection="1">
      <alignment horizontal="center" vertical="center" wrapText="1" readingOrder="1"/>
      <protection locked="0"/>
    </xf>
    <xf numFmtId="0" fontId="3" fillId="0" borderId="273" xfId="0" applyFont="1" applyFill="1" applyBorder="1" applyAlignment="1" applyProtection="1">
      <alignment horizontal="center" vertical="top" wrapText="1" shrinkToFit="1"/>
      <protection locked="0"/>
    </xf>
    <xf numFmtId="0" fontId="3" fillId="0" borderId="16" xfId="0" applyFont="1" applyFill="1" applyBorder="1" applyAlignment="1" applyProtection="1">
      <alignment horizontal="center" vertical="top" wrapText="1" readingOrder="1"/>
      <protection locked="0"/>
    </xf>
    <xf numFmtId="0" fontId="3" fillId="0" borderId="292" xfId="0" applyFont="1" applyFill="1" applyBorder="1" applyAlignment="1" applyProtection="1">
      <alignment horizontal="center" vertical="top" wrapText="1" readingOrder="1"/>
      <protection locked="0"/>
    </xf>
    <xf numFmtId="0" fontId="3" fillId="0" borderId="305" xfId="0" applyFont="1" applyFill="1" applyBorder="1" applyAlignment="1" applyProtection="1">
      <alignment horizontal="center" vertical="top" wrapText="1" shrinkToFit="1"/>
      <protection locked="0"/>
    </xf>
    <xf numFmtId="14" fontId="3" fillId="0" borderId="306" xfId="0" applyNumberFormat="1" applyFont="1" applyFill="1" applyBorder="1" applyAlignment="1" applyProtection="1">
      <alignment horizontal="center" vertical="top" wrapText="1" shrinkToFit="1"/>
      <protection locked="0"/>
    </xf>
    <xf numFmtId="0" fontId="3" fillId="0" borderId="296" xfId="0" applyFont="1" applyFill="1" applyBorder="1" applyAlignment="1" applyProtection="1">
      <alignment horizontal="center" vertical="top" wrapText="1" shrinkToFit="1"/>
      <protection locked="0"/>
    </xf>
    <xf numFmtId="0" fontId="9" fillId="0" borderId="0" xfId="0" applyFont="1" applyFill="1" applyAlignment="1" applyProtection="1">
      <alignment horizontal="center" vertical="top" wrapText="1" readingOrder="1"/>
      <protection locked="0"/>
    </xf>
    <xf numFmtId="0" fontId="3" fillId="0" borderId="290" xfId="0" applyFont="1" applyFill="1" applyBorder="1" applyAlignment="1" applyProtection="1">
      <alignment horizontal="center" vertical="top" wrapText="1" shrinkToFit="1"/>
      <protection locked="0"/>
    </xf>
    <xf numFmtId="0" fontId="3" fillId="0" borderId="230" xfId="0" applyFont="1" applyFill="1" applyBorder="1" applyAlignment="1" applyProtection="1">
      <alignment horizontal="left" vertical="top" wrapText="1" readingOrder="1"/>
      <protection locked="0"/>
    </xf>
    <xf numFmtId="0" fontId="3" fillId="0" borderId="231" xfId="0" applyFont="1" applyFill="1" applyBorder="1" applyAlignment="1" applyProtection="1">
      <alignment horizontal="left" vertical="top" wrapText="1" readingOrder="1"/>
      <protection locked="0"/>
    </xf>
    <xf numFmtId="0" fontId="3" fillId="0" borderId="230" xfId="0" applyFont="1" applyFill="1" applyBorder="1" applyAlignment="1" applyProtection="1">
      <alignment horizontal="center" vertical="top" wrapText="1" readingOrder="1"/>
      <protection locked="0"/>
    </xf>
    <xf numFmtId="0" fontId="4" fillId="0" borderId="117" xfId="0" applyFont="1" applyFill="1" applyBorder="1" applyAlignment="1" applyProtection="1">
      <alignment horizontal="center" vertical="top" wrapText="1" shrinkToFit="1"/>
      <protection locked="0"/>
    </xf>
    <xf numFmtId="0" fontId="3" fillId="0" borderId="256" xfId="0" applyFont="1" applyFill="1" applyBorder="1" applyAlignment="1" applyProtection="1">
      <alignment horizontal="center" vertical="top" wrapText="1" readingOrder="1"/>
      <protection locked="0"/>
    </xf>
    <xf numFmtId="0" fontId="3" fillId="0" borderId="244" xfId="0" applyFont="1" applyFill="1" applyBorder="1" applyAlignment="1" applyProtection="1">
      <alignment horizontal="center" vertical="top" wrapText="1" readingOrder="1"/>
      <protection locked="0"/>
    </xf>
    <xf numFmtId="0" fontId="4" fillId="0" borderId="306" xfId="0" applyFont="1" applyFill="1" applyBorder="1" applyAlignment="1" applyProtection="1">
      <alignment horizontal="center" vertical="top" wrapText="1" shrinkToFit="1"/>
      <protection locked="0"/>
    </xf>
    <xf numFmtId="0" fontId="4" fillId="0" borderId="308" xfId="0" applyFont="1" applyFill="1" applyBorder="1" applyAlignment="1" applyProtection="1">
      <alignment horizontal="center" vertical="top" wrapText="1" shrinkToFit="1"/>
      <protection locked="0"/>
    </xf>
    <xf numFmtId="0" fontId="3" fillId="0" borderId="290" xfId="0" applyFont="1" applyFill="1" applyBorder="1" applyAlignment="1" applyProtection="1">
      <alignment horizontal="left" vertical="top" wrapText="1" readingOrder="1"/>
      <protection locked="0"/>
    </xf>
    <xf numFmtId="0" fontId="5" fillId="0" borderId="232" xfId="0" applyFont="1" applyFill="1" applyBorder="1" applyAlignment="1" applyProtection="1">
      <alignment horizontal="left" vertical="top" wrapText="1" readingOrder="1"/>
      <protection locked="0"/>
    </xf>
    <xf numFmtId="0" fontId="5" fillId="0" borderId="128" xfId="0" applyFont="1" applyFill="1" applyBorder="1" applyAlignment="1" applyProtection="1">
      <alignment horizontal="center" vertical="top" wrapText="1" readingOrder="1"/>
      <protection locked="0"/>
    </xf>
    <xf numFmtId="0" fontId="5" fillId="0" borderId="244" xfId="0" applyFont="1" applyFill="1" applyBorder="1" applyAlignment="1" applyProtection="1">
      <alignment horizontal="center" vertical="top" wrapText="1" readingOrder="1"/>
      <protection locked="0"/>
    </xf>
    <xf numFmtId="0" fontId="5" fillId="0" borderId="219" xfId="0" applyFont="1" applyFill="1" applyBorder="1" applyAlignment="1" applyProtection="1">
      <alignment horizontal="left" vertical="top" wrapText="1" readingOrder="1"/>
      <protection locked="0"/>
    </xf>
    <xf numFmtId="0" fontId="5" fillId="0" borderId="200" xfId="0" applyFont="1" applyFill="1" applyBorder="1" applyAlignment="1" applyProtection="1">
      <alignment horizontal="left" vertical="top" wrapText="1" readingOrder="1"/>
      <protection locked="0"/>
    </xf>
    <xf numFmtId="0" fontId="5" fillId="0" borderId="219" xfId="0" applyFont="1" applyFill="1" applyBorder="1" applyAlignment="1" applyProtection="1">
      <alignment horizontal="center" vertical="top" wrapText="1" readingOrder="1"/>
      <protection locked="0"/>
    </xf>
    <xf numFmtId="0" fontId="5" fillId="0" borderId="246" xfId="0" applyFont="1" applyFill="1" applyBorder="1" applyAlignment="1" applyProtection="1">
      <alignment horizontal="center" vertical="top" wrapText="1" readingOrder="1"/>
      <protection locked="0"/>
    </xf>
    <xf numFmtId="0" fontId="3" fillId="0" borderId="226" xfId="0" applyFont="1" applyFill="1" applyBorder="1" applyAlignment="1" applyProtection="1">
      <alignment horizontal="left" vertical="top" wrapText="1" readingOrder="1"/>
      <protection locked="0"/>
    </xf>
    <xf numFmtId="0" fontId="4" fillId="0" borderId="265" xfId="0" applyFont="1" applyFill="1" applyBorder="1" applyAlignment="1" applyProtection="1">
      <alignment horizontal="center" vertical="top" wrapText="1" shrinkToFit="1"/>
      <protection locked="0"/>
    </xf>
    <xf numFmtId="0" fontId="3" fillId="0" borderId="230" xfId="0" applyFont="1" applyFill="1" applyBorder="1" applyAlignment="1" applyProtection="1">
      <alignment horizontal="center" vertical="top" wrapText="1" shrinkToFit="1"/>
      <protection locked="0"/>
    </xf>
    <xf numFmtId="0" fontId="4" fillId="0" borderId="230" xfId="0" applyFont="1" applyFill="1" applyBorder="1" applyAlignment="1">
      <alignment horizontal="center" vertical="top" wrapText="1"/>
    </xf>
    <xf numFmtId="0" fontId="4" fillId="0" borderId="217" xfId="0" applyFont="1" applyFill="1" applyBorder="1" applyAlignment="1">
      <alignment horizontal="center" vertical="top" wrapText="1"/>
    </xf>
    <xf numFmtId="0" fontId="3" fillId="0" borderId="217" xfId="0" applyFont="1" applyFill="1" applyBorder="1" applyAlignment="1" applyProtection="1">
      <alignment horizontal="center" vertical="top" wrapText="1" readingOrder="1"/>
      <protection locked="0"/>
    </xf>
    <xf numFmtId="0" fontId="3" fillId="0" borderId="218" xfId="0" applyFont="1" applyFill="1" applyBorder="1" applyAlignment="1" applyProtection="1">
      <alignment horizontal="center" vertical="center" wrapText="1" readingOrder="1"/>
      <protection locked="0"/>
    </xf>
    <xf numFmtId="0" fontId="3" fillId="0" borderId="174" xfId="0" applyFont="1" applyFill="1" applyBorder="1" applyAlignment="1" applyProtection="1">
      <alignment horizontal="center" vertical="center" wrapText="1" readingOrder="1"/>
      <protection locked="0"/>
    </xf>
    <xf numFmtId="0" fontId="3" fillId="0" borderId="205" xfId="0" applyFont="1" applyFill="1" applyBorder="1" applyAlignment="1" applyProtection="1">
      <alignment horizontal="center" vertical="center" wrapText="1" readingOrder="1"/>
      <protection locked="0"/>
    </xf>
    <xf numFmtId="0" fontId="3" fillId="0" borderId="216" xfId="0" applyFont="1" applyFill="1" applyBorder="1" applyAlignment="1" applyProtection="1">
      <alignment horizontal="center" vertical="top" wrapText="1" readingOrder="1"/>
      <protection locked="0"/>
    </xf>
    <xf numFmtId="0" fontId="3" fillId="0" borderId="234" xfId="0" applyFont="1" applyFill="1" applyBorder="1" applyAlignment="1" applyProtection="1">
      <alignment horizontal="center" vertical="top" wrapText="1" readingOrder="1"/>
      <protection locked="0"/>
    </xf>
    <xf numFmtId="0" fontId="3" fillId="0" borderId="235" xfId="0" applyFont="1" applyFill="1" applyBorder="1" applyAlignment="1" applyProtection="1">
      <alignment horizontal="center" vertical="top" wrapText="1" readingOrder="1"/>
      <protection locked="0"/>
    </xf>
    <xf numFmtId="0" fontId="3" fillId="0" borderId="236" xfId="0" applyFont="1" applyFill="1" applyBorder="1" applyAlignment="1" applyProtection="1">
      <alignment horizontal="center" vertical="center" wrapText="1" readingOrder="1"/>
      <protection locked="0"/>
    </xf>
    <xf numFmtId="0" fontId="3" fillId="0" borderId="237" xfId="0" applyFont="1" applyFill="1" applyBorder="1" applyAlignment="1" applyProtection="1">
      <alignment horizontal="center" vertical="center" wrapText="1" readingOrder="1"/>
      <protection locked="0"/>
    </xf>
    <xf numFmtId="0" fontId="3" fillId="0" borderId="238" xfId="0" applyFont="1" applyFill="1" applyBorder="1" applyAlignment="1" applyProtection="1">
      <alignment horizontal="center" vertical="center" wrapText="1" readingOrder="1"/>
      <protection locked="0"/>
    </xf>
    <xf numFmtId="0" fontId="3" fillId="0" borderId="239" xfId="0" applyFont="1" applyFill="1" applyBorder="1" applyAlignment="1" applyProtection="1">
      <alignment horizontal="center" vertical="center" wrapText="1" readingOrder="1"/>
      <protection locked="0"/>
    </xf>
    <xf numFmtId="0" fontId="3" fillId="0" borderId="168" xfId="0" applyFont="1" applyFill="1" applyBorder="1" applyAlignment="1" applyProtection="1">
      <alignment horizontal="center" vertical="center" wrapText="1" readingOrder="1"/>
      <protection locked="0"/>
    </xf>
    <xf numFmtId="0" fontId="3" fillId="0" borderId="231" xfId="0" applyFont="1" applyFill="1" applyBorder="1" applyAlignment="1" applyProtection="1">
      <alignment horizontal="center" vertical="center" wrapText="1" readingOrder="1"/>
      <protection locked="0"/>
    </xf>
    <xf numFmtId="167" fontId="3" fillId="0" borderId="233" xfId="0" applyNumberFormat="1" applyFont="1" applyFill="1" applyBorder="1" applyAlignment="1" applyProtection="1">
      <alignment horizontal="center" vertical="center" wrapText="1" readingOrder="1"/>
      <protection locked="0"/>
    </xf>
    <xf numFmtId="167" fontId="3" fillId="0" borderId="78" xfId="0" applyNumberFormat="1" applyFont="1" applyFill="1" applyBorder="1" applyAlignment="1" applyProtection="1">
      <alignment horizontal="center" vertical="center" wrapText="1" readingOrder="1"/>
      <protection locked="0"/>
    </xf>
    <xf numFmtId="0" fontId="3" fillId="0" borderId="233" xfId="0" applyFont="1" applyFill="1" applyBorder="1" applyAlignment="1">
      <alignment horizontal="center"/>
    </xf>
    <xf numFmtId="0" fontId="3" fillId="0" borderId="152" xfId="0" applyFont="1" applyFill="1" applyBorder="1" applyAlignment="1">
      <alignment horizontal="center"/>
    </xf>
    <xf numFmtId="0" fontId="3" fillId="0" borderId="78" xfId="0" applyFont="1" applyFill="1" applyBorder="1" applyAlignment="1">
      <alignment horizontal="center"/>
    </xf>
    <xf numFmtId="0" fontId="3" fillId="0" borderId="233" xfId="0" applyFont="1" applyFill="1" applyBorder="1" applyAlignment="1" applyProtection="1">
      <alignment horizontal="center" vertical="center" wrapText="1" readingOrder="1"/>
      <protection locked="0"/>
    </xf>
    <xf numFmtId="0" fontId="3" fillId="0" borderId="78" xfId="0" applyFont="1" applyFill="1" applyBorder="1" applyAlignment="1" applyProtection="1">
      <alignment horizontal="center" vertical="center" wrapText="1" readingOrder="1"/>
      <protection locked="0"/>
    </xf>
    <xf numFmtId="165" fontId="3" fillId="0" borderId="231" xfId="0" applyNumberFormat="1" applyFont="1" applyFill="1" applyBorder="1" applyAlignment="1" applyProtection="1">
      <alignment horizontal="right" vertical="top" wrapText="1" readingOrder="1"/>
      <protection locked="0"/>
    </xf>
    <xf numFmtId="0" fontId="4" fillId="0" borderId="290" xfId="0" applyFont="1" applyFill="1" applyBorder="1" applyAlignment="1">
      <alignment horizontal="center" vertical="top" wrapText="1"/>
    </xf>
    <xf numFmtId="0" fontId="3" fillId="0" borderId="127" xfId="0" applyFont="1" applyFill="1" applyBorder="1" applyAlignment="1">
      <alignment horizontal="center" vertical="top" wrapText="1"/>
    </xf>
    <xf numFmtId="0" fontId="3" fillId="0" borderId="261" xfId="0" applyFont="1" applyFill="1" applyBorder="1" applyAlignment="1">
      <alignment horizontal="center" vertical="top" wrapText="1"/>
    </xf>
    <xf numFmtId="0" fontId="3" fillId="0" borderId="168" xfId="0" applyFont="1" applyFill="1" applyBorder="1" applyAlignment="1">
      <alignment horizontal="center" vertical="top" wrapText="1"/>
    </xf>
    <xf numFmtId="0" fontId="3" fillId="0" borderId="253" xfId="0" applyFont="1" applyFill="1" applyBorder="1" applyAlignment="1">
      <alignment horizontal="center" vertical="top" wrapText="1"/>
    </xf>
    <xf numFmtId="0" fontId="3" fillId="0" borderId="128" xfId="0" applyFont="1" applyFill="1" applyBorder="1" applyAlignment="1">
      <alignment horizontal="center" vertical="top" wrapText="1"/>
    </xf>
    <xf numFmtId="0" fontId="3" fillId="0" borderId="214" xfId="0" applyFont="1" applyFill="1" applyBorder="1" applyAlignment="1">
      <alignment horizontal="center" vertical="top" wrapText="1"/>
    </xf>
    <xf numFmtId="0" fontId="3" fillId="0" borderId="226" xfId="0" applyFont="1" applyFill="1" applyBorder="1" applyAlignment="1" applyProtection="1">
      <alignment horizontal="center" vertical="center" wrapText="1" shrinkToFit="1"/>
      <protection locked="0"/>
    </xf>
    <xf numFmtId="0" fontId="3" fillId="0" borderId="229" xfId="0" applyFont="1" applyFill="1" applyBorder="1" applyAlignment="1" applyProtection="1">
      <alignment horizontal="center" vertical="top" wrapText="1" readingOrder="1"/>
      <protection locked="0"/>
    </xf>
    <xf numFmtId="0" fontId="3" fillId="0" borderId="229" xfId="0" applyFont="1" applyFill="1" applyBorder="1" applyAlignment="1" applyProtection="1">
      <alignment horizontal="center" vertical="center" wrapText="1" readingOrder="1"/>
      <protection locked="0"/>
    </xf>
    <xf numFmtId="14" fontId="3" fillId="0" borderId="287" xfId="0" applyNumberFormat="1" applyFont="1" applyFill="1" applyBorder="1" applyAlignment="1" applyProtection="1">
      <alignment horizontal="center" vertical="top" wrapText="1" shrinkToFit="1"/>
      <protection locked="0"/>
    </xf>
    <xf numFmtId="0" fontId="3" fillId="0" borderId="178" xfId="0" applyFont="1" applyFill="1" applyBorder="1" applyAlignment="1" applyProtection="1">
      <alignment horizontal="left" vertical="top" wrapText="1" readingOrder="1"/>
      <protection locked="0"/>
    </xf>
    <xf numFmtId="0" fontId="12" fillId="0" borderId="329" xfId="0" applyFont="1" applyFill="1" applyBorder="1" applyAlignment="1" applyProtection="1">
      <alignment horizontal="left" vertical="top" wrapText="1" readingOrder="1"/>
      <protection locked="0"/>
    </xf>
    <xf numFmtId="0" fontId="3" fillId="0" borderId="0" xfId="0" applyFont="1" applyFill="1" applyBorder="1" applyAlignment="1" applyProtection="1">
      <alignment horizontal="center" vertical="top" wrapText="1" shrinkToFit="1"/>
      <protection locked="0"/>
    </xf>
    <xf numFmtId="0" fontId="6" fillId="0" borderId="206" xfId="0" applyFont="1" applyFill="1" applyBorder="1" applyAlignment="1" applyProtection="1">
      <alignment horizontal="center" vertical="top" wrapText="1" shrinkToFit="1"/>
      <protection locked="0"/>
    </xf>
    <xf numFmtId="0" fontId="6" fillId="0" borderId="173" xfId="0" applyFont="1" applyFill="1" applyBorder="1" applyAlignment="1" applyProtection="1">
      <alignment horizontal="center" vertical="top" wrapText="1" shrinkToFit="1"/>
      <protection locked="0"/>
    </xf>
    <xf numFmtId="0" fontId="6" fillId="0" borderId="227" xfId="0" applyFont="1" applyFill="1" applyBorder="1" applyAlignment="1" applyProtection="1">
      <alignment horizontal="center" vertical="top" wrapText="1" shrinkToFit="1"/>
      <protection locked="0"/>
    </xf>
    <xf numFmtId="0" fontId="6" fillId="0" borderId="255" xfId="0" applyFont="1" applyFill="1" applyBorder="1" applyAlignment="1" applyProtection="1">
      <alignment horizontal="center" vertical="top" wrapText="1" shrinkToFit="1"/>
      <protection locked="0"/>
    </xf>
    <xf numFmtId="0" fontId="4" fillId="0" borderId="247" xfId="0" applyFont="1" applyFill="1" applyBorder="1" applyAlignment="1">
      <alignment horizontal="center" vertical="top" wrapText="1"/>
    </xf>
    <xf numFmtId="14" fontId="3" fillId="0" borderId="323" xfId="0" applyNumberFormat="1" applyFont="1" applyFill="1" applyBorder="1" applyAlignment="1" applyProtection="1">
      <alignment horizontal="center" vertical="top" wrapText="1" shrinkToFit="1"/>
      <protection locked="0"/>
    </xf>
  </cellXfs>
  <cellStyles count="3">
    <cellStyle name="Обычный" xfId="0" builtinId="0"/>
    <cellStyle name="Обычный 2" xfId="2"/>
    <cellStyle name="Обычный_TMP_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0000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755"/>
  <sheetViews>
    <sheetView showGridLines="0" tabSelected="1" zoomScale="85" zoomScaleNormal="85" zoomScaleSheetLayoutView="80" workbookViewId="0">
      <pane xSplit="2" ySplit="5" topLeftCell="C752" activePane="bottomRight" state="frozen"/>
      <selection pane="topRight" activeCell="C1" sqref="C1"/>
      <selection pane="bottomLeft" activeCell="A6" sqref="A6"/>
      <selection pane="bottomRight" activeCell="A11" sqref="A11:A12"/>
    </sheetView>
  </sheetViews>
  <sheetFormatPr defaultRowHeight="18.75"/>
  <cols>
    <col min="1" max="1" width="42.7109375" style="46" customWidth="1"/>
    <col min="2" max="2" width="5.85546875" style="1207" customWidth="1"/>
    <col min="3" max="3" width="22" style="46" customWidth="1"/>
    <col min="4" max="4" width="6.28515625" style="46" customWidth="1"/>
    <col min="5" max="5" width="10.28515625" style="46" customWidth="1"/>
    <col min="6" max="6" width="22.140625" style="46" customWidth="1"/>
    <col min="7" max="7" width="6.5703125" style="46" customWidth="1"/>
    <col min="8" max="8" width="10" style="46" customWidth="1"/>
    <col min="9" max="9" width="53.42578125" style="46" customWidth="1"/>
    <col min="10" max="10" width="6.42578125" style="46" customWidth="1"/>
    <col min="11" max="11" width="9.7109375" style="46" customWidth="1"/>
    <col min="12" max="13" width="3.7109375" style="46" customWidth="1"/>
    <col min="14" max="14" width="13.28515625" style="1208" bestFit="1" customWidth="1"/>
    <col min="15" max="15" width="14.5703125" style="1209" customWidth="1"/>
    <col min="16" max="16" width="16.42578125" style="46" bestFit="1" customWidth="1"/>
    <col min="17" max="17" width="15.42578125" style="46" bestFit="1" customWidth="1"/>
    <col min="18" max="18" width="13.42578125" style="46" bestFit="1" customWidth="1"/>
    <col min="19" max="19" width="19.85546875" style="46" bestFit="1" customWidth="1"/>
    <col min="20" max="22" width="11.85546875" style="46" bestFit="1" customWidth="1"/>
    <col min="23" max="23" width="8.42578125" style="33" bestFit="1" customWidth="1"/>
    <col min="24" max="25" width="9.140625" style="33"/>
    <col min="26" max="16384" width="9.140625" style="46"/>
  </cols>
  <sheetData>
    <row r="1" spans="1:25" ht="21.75" customHeight="1">
      <c r="A1" s="1803" t="s">
        <v>1696</v>
      </c>
      <c r="B1" s="1803"/>
      <c r="C1" s="1803"/>
      <c r="D1" s="1803"/>
      <c r="E1" s="1803"/>
      <c r="F1" s="1803"/>
      <c r="G1" s="1803"/>
      <c r="H1" s="1803"/>
      <c r="I1" s="1803"/>
      <c r="J1" s="1803"/>
      <c r="K1" s="1803"/>
      <c r="L1" s="1803"/>
      <c r="M1" s="1803"/>
      <c r="N1" s="1803"/>
      <c r="O1" s="1803"/>
      <c r="P1" s="1803"/>
      <c r="Q1" s="1803"/>
      <c r="R1" s="1803"/>
      <c r="S1" s="1803"/>
    </row>
    <row r="2" spans="1:25" s="9" customFormat="1" ht="19.5" customHeight="1">
      <c r="A2" s="1827" t="s">
        <v>330</v>
      </c>
      <c r="B2" s="1668" t="s">
        <v>0</v>
      </c>
      <c r="C2" s="1830" t="s">
        <v>331</v>
      </c>
      <c r="D2" s="1831"/>
      <c r="E2" s="1831"/>
      <c r="F2" s="1831"/>
      <c r="G2" s="1831"/>
      <c r="H2" s="1831"/>
      <c r="I2" s="1831"/>
      <c r="J2" s="1831"/>
      <c r="K2" s="1832"/>
      <c r="L2" s="1833" t="s">
        <v>1</v>
      </c>
      <c r="M2" s="1834"/>
      <c r="N2" s="1841" t="s">
        <v>1023</v>
      </c>
      <c r="O2" s="1842"/>
      <c r="P2" s="1842"/>
      <c r="Q2" s="1842"/>
      <c r="R2" s="1842"/>
      <c r="S2" s="1843"/>
      <c r="W2" s="33"/>
      <c r="X2" s="33"/>
      <c r="Y2" s="33"/>
    </row>
    <row r="3" spans="1:25" s="9" customFormat="1" ht="23.25" customHeight="1">
      <c r="A3" s="1828"/>
      <c r="B3" s="1759"/>
      <c r="C3" s="1830" t="s">
        <v>4</v>
      </c>
      <c r="D3" s="1831"/>
      <c r="E3" s="1832"/>
      <c r="F3" s="1830" t="s">
        <v>5</v>
      </c>
      <c r="G3" s="1831"/>
      <c r="H3" s="1832"/>
      <c r="I3" s="1830" t="s">
        <v>39</v>
      </c>
      <c r="J3" s="1831"/>
      <c r="K3" s="1832"/>
      <c r="L3" s="1835"/>
      <c r="M3" s="1836"/>
      <c r="N3" s="1839" t="s">
        <v>1024</v>
      </c>
      <c r="O3" s="1840"/>
      <c r="P3" s="1837" t="s">
        <v>1027</v>
      </c>
      <c r="Q3" s="1837" t="s">
        <v>1028</v>
      </c>
      <c r="R3" s="1844" t="s">
        <v>1029</v>
      </c>
      <c r="S3" s="1845"/>
      <c r="W3" s="33"/>
      <c r="X3" s="33"/>
      <c r="Y3" s="33"/>
    </row>
    <row r="4" spans="1:25" s="9" customFormat="1" ht="84" customHeight="1">
      <c r="A4" s="1829"/>
      <c r="B4" s="1669"/>
      <c r="C4" s="47" t="s">
        <v>1538</v>
      </c>
      <c r="D4" s="47" t="s">
        <v>6</v>
      </c>
      <c r="E4" s="47" t="s">
        <v>7</v>
      </c>
      <c r="F4" s="47" t="s">
        <v>1538</v>
      </c>
      <c r="G4" s="47" t="s">
        <v>6</v>
      </c>
      <c r="H4" s="47" t="s">
        <v>7</v>
      </c>
      <c r="I4" s="47"/>
      <c r="J4" s="47" t="s">
        <v>6</v>
      </c>
      <c r="K4" s="47" t="s">
        <v>7</v>
      </c>
      <c r="L4" s="47" t="s">
        <v>8</v>
      </c>
      <c r="M4" s="48" t="s">
        <v>9</v>
      </c>
      <c r="N4" s="49" t="s">
        <v>1025</v>
      </c>
      <c r="O4" s="50" t="s">
        <v>1026</v>
      </c>
      <c r="P4" s="1838"/>
      <c r="Q4" s="1838"/>
      <c r="R4" s="51" t="s">
        <v>1030</v>
      </c>
      <c r="S4" s="51" t="s">
        <v>1031</v>
      </c>
      <c r="W4" s="33"/>
      <c r="X4" s="33"/>
      <c r="Y4" s="33"/>
    </row>
    <row r="5" spans="1:25" s="9" customFormat="1" ht="12">
      <c r="A5" s="52" t="s">
        <v>2</v>
      </c>
      <c r="B5" s="52">
        <v>2</v>
      </c>
      <c r="C5" s="47" t="s">
        <v>10</v>
      </c>
      <c r="D5" s="47" t="s">
        <v>11</v>
      </c>
      <c r="E5" s="47" t="s">
        <v>12</v>
      </c>
      <c r="F5" s="47" t="s">
        <v>13</v>
      </c>
      <c r="G5" s="47" t="s">
        <v>14</v>
      </c>
      <c r="H5" s="47" t="s">
        <v>15</v>
      </c>
      <c r="I5" s="47">
        <v>9</v>
      </c>
      <c r="J5" s="47">
        <v>10</v>
      </c>
      <c r="K5" s="47">
        <v>11</v>
      </c>
      <c r="L5" s="47">
        <v>12</v>
      </c>
      <c r="M5" s="48">
        <v>13</v>
      </c>
      <c r="N5" s="53">
        <v>18</v>
      </c>
      <c r="O5" s="54"/>
      <c r="P5" s="55">
        <v>19</v>
      </c>
      <c r="Q5" s="55">
        <v>19</v>
      </c>
      <c r="R5" s="50">
        <v>19</v>
      </c>
      <c r="S5" s="50">
        <v>20</v>
      </c>
      <c r="W5" s="33"/>
      <c r="X5" s="33"/>
      <c r="Y5" s="33"/>
    </row>
    <row r="6" spans="1:25" s="18" customFormat="1" ht="59.25" customHeight="1">
      <c r="A6" s="56" t="s">
        <v>327</v>
      </c>
      <c r="B6" s="57" t="s">
        <v>21</v>
      </c>
      <c r="C6" s="57" t="s">
        <v>22</v>
      </c>
      <c r="D6" s="57" t="s">
        <v>22</v>
      </c>
      <c r="E6" s="57" t="s">
        <v>22</v>
      </c>
      <c r="F6" s="57" t="s">
        <v>22</v>
      </c>
      <c r="G6" s="57" t="s">
        <v>22</v>
      </c>
      <c r="H6" s="57" t="s">
        <v>22</v>
      </c>
      <c r="I6" s="57" t="s">
        <v>22</v>
      </c>
      <c r="J6" s="57" t="s">
        <v>22</v>
      </c>
      <c r="K6" s="57" t="s">
        <v>22</v>
      </c>
      <c r="L6" s="57"/>
      <c r="M6" s="58"/>
      <c r="N6" s="59">
        <f t="shared" ref="N6:S6" si="0">N7+N373+N481+N508+N569+N576+N752</f>
        <v>2643301.716</v>
      </c>
      <c r="O6" s="1498">
        <f t="shared" si="0"/>
        <v>2518354.9889599998</v>
      </c>
      <c r="P6" s="59">
        <f t="shared" si="0"/>
        <v>2905383.2433900004</v>
      </c>
      <c r="Q6" s="59">
        <f t="shared" si="0"/>
        <v>823219</v>
      </c>
      <c r="R6" s="59">
        <f t="shared" si="0"/>
        <v>760299.2</v>
      </c>
      <c r="S6" s="59">
        <f t="shared" si="0"/>
        <v>798577.70000000007</v>
      </c>
      <c r="W6" s="19"/>
      <c r="X6" s="19"/>
      <c r="Y6" s="19"/>
    </row>
    <row r="7" spans="1:25" s="18" customFormat="1" ht="60.75" customHeight="1">
      <c r="A7" s="56" t="s">
        <v>328</v>
      </c>
      <c r="B7" s="57" t="s">
        <v>23</v>
      </c>
      <c r="C7" s="57" t="s">
        <v>22</v>
      </c>
      <c r="D7" s="57" t="s">
        <v>22</v>
      </c>
      <c r="E7" s="57" t="s">
        <v>22</v>
      </c>
      <c r="F7" s="57" t="s">
        <v>22</v>
      </c>
      <c r="G7" s="57" t="s">
        <v>22</v>
      </c>
      <c r="H7" s="57" t="s">
        <v>22</v>
      </c>
      <c r="I7" s="57" t="s">
        <v>22</v>
      </c>
      <c r="J7" s="57" t="s">
        <v>22</v>
      </c>
      <c r="K7" s="57" t="s">
        <v>22</v>
      </c>
      <c r="L7" s="57"/>
      <c r="M7" s="58"/>
      <c r="N7" s="59">
        <f t="shared" ref="N7:S7" si="1">N8+N361</f>
        <v>1047233.4790000001</v>
      </c>
      <c r="O7" s="1498">
        <f t="shared" si="1"/>
        <v>964600.72299999988</v>
      </c>
      <c r="P7" s="1569">
        <f t="shared" si="1"/>
        <v>1328056.5340000005</v>
      </c>
      <c r="Q7" s="59">
        <f t="shared" si="1"/>
        <v>436100.5</v>
      </c>
      <c r="R7" s="59">
        <f t="shared" si="1"/>
        <v>422943.49999999994</v>
      </c>
      <c r="S7" s="59">
        <f t="shared" si="1"/>
        <v>419166.10000000009</v>
      </c>
      <c r="W7" s="19"/>
      <c r="X7" s="19"/>
      <c r="Y7" s="19"/>
    </row>
    <row r="8" spans="1:25" s="18" customFormat="1" ht="59.25" customHeight="1">
      <c r="A8" s="56" t="s">
        <v>527</v>
      </c>
      <c r="B8" s="57">
        <v>1002</v>
      </c>
      <c r="C8" s="57" t="s">
        <v>22</v>
      </c>
      <c r="D8" s="57" t="s">
        <v>22</v>
      </c>
      <c r="E8" s="57" t="s">
        <v>22</v>
      </c>
      <c r="F8" s="57" t="s">
        <v>22</v>
      </c>
      <c r="G8" s="57" t="s">
        <v>22</v>
      </c>
      <c r="H8" s="57" t="s">
        <v>22</v>
      </c>
      <c r="I8" s="57" t="s">
        <v>22</v>
      </c>
      <c r="J8" s="57" t="s">
        <v>22</v>
      </c>
      <c r="K8" s="57" t="s">
        <v>22</v>
      </c>
      <c r="L8" s="60"/>
      <c r="M8" s="61"/>
      <c r="N8" s="59">
        <f t="shared" ref="N8:S8" si="2">N9+N11+N13+N18+N23+N27+N28+N29+N50+N51+N69+N108+N160+N183+N189+N196+N203+N208+N215+N243+N244+N247+N252+N262+N271+N275+N289+N305+N313+N318+N330+N351+N357+N358</f>
        <v>976817.07400000002</v>
      </c>
      <c r="O8" s="1498">
        <f t="shared" si="2"/>
        <v>894184.31799999985</v>
      </c>
      <c r="P8" s="1569">
        <f t="shared" si="2"/>
        <v>1256097.5340000005</v>
      </c>
      <c r="Q8" s="59">
        <f t="shared" si="2"/>
        <v>436100.5</v>
      </c>
      <c r="R8" s="59">
        <f t="shared" si="2"/>
        <v>422943.49999999994</v>
      </c>
      <c r="S8" s="59">
        <f t="shared" si="2"/>
        <v>419166.10000000009</v>
      </c>
      <c r="W8" s="19"/>
      <c r="X8" s="19"/>
      <c r="Y8" s="19"/>
    </row>
    <row r="9" spans="1:25" s="18" customFormat="1" ht="12" customHeight="1">
      <c r="A9" s="1774" t="s">
        <v>664</v>
      </c>
      <c r="B9" s="1815">
        <v>1005</v>
      </c>
      <c r="C9" s="62"/>
      <c r="D9" s="62"/>
      <c r="E9" s="62"/>
      <c r="F9" s="62"/>
      <c r="G9" s="62"/>
      <c r="H9" s="62"/>
      <c r="I9" s="63"/>
      <c r="J9" s="63"/>
      <c r="K9" s="63"/>
      <c r="L9" s="64" t="s">
        <v>25</v>
      </c>
      <c r="M9" s="65" t="s">
        <v>19</v>
      </c>
      <c r="N9" s="59">
        <f>SUM(N10:N10)</f>
        <v>2806.8</v>
      </c>
      <c r="O9" s="1498">
        <f t="shared" ref="O9:S9" si="3">SUM(O10:O10)</f>
        <v>2164.4299999999998</v>
      </c>
      <c r="P9" s="1569">
        <f t="shared" si="3"/>
        <v>5581.5730000000003</v>
      </c>
      <c r="Q9" s="59">
        <f t="shared" si="3"/>
        <v>3412</v>
      </c>
      <c r="R9" s="59">
        <f t="shared" si="3"/>
        <v>3545.6</v>
      </c>
      <c r="S9" s="59">
        <f t="shared" si="3"/>
        <v>3724.7</v>
      </c>
      <c r="W9" s="19"/>
      <c r="X9" s="19"/>
      <c r="Y9" s="19"/>
    </row>
    <row r="10" spans="1:25" s="9" customFormat="1" ht="160.5" customHeight="1">
      <c r="A10" s="1814"/>
      <c r="B10" s="1816"/>
      <c r="C10" s="66" t="s">
        <v>40</v>
      </c>
      <c r="D10" s="66" t="s">
        <v>53</v>
      </c>
      <c r="E10" s="66" t="s">
        <v>1159</v>
      </c>
      <c r="F10" s="1484" t="s">
        <v>24</v>
      </c>
      <c r="G10" s="1484" t="s">
        <v>24</v>
      </c>
      <c r="H10" s="1484" t="s">
        <v>24</v>
      </c>
      <c r="I10" s="1484" t="s">
        <v>948</v>
      </c>
      <c r="J10" s="1484" t="s">
        <v>54</v>
      </c>
      <c r="K10" s="1484" t="s">
        <v>55</v>
      </c>
      <c r="L10" s="1422" t="s">
        <v>25</v>
      </c>
      <c r="M10" s="67" t="s">
        <v>19</v>
      </c>
      <c r="N10" s="68">
        <v>2806.8</v>
      </c>
      <c r="O10" s="1499">
        <v>2164.4299999999998</v>
      </c>
      <c r="P10" s="68">
        <f>4229.842+487.499+944.748-80.516</f>
        <v>5581.5730000000003</v>
      </c>
      <c r="Q10" s="68">
        <v>3412</v>
      </c>
      <c r="R10" s="68">
        <v>3545.6</v>
      </c>
      <c r="S10" s="68">
        <v>3724.7</v>
      </c>
      <c r="W10" s="33"/>
      <c r="X10" s="33"/>
      <c r="Y10" s="33"/>
    </row>
    <row r="11" spans="1:25" s="18" customFormat="1" ht="66" customHeight="1">
      <c r="A11" s="1817" t="s">
        <v>665</v>
      </c>
      <c r="B11" s="1819">
        <v>1006</v>
      </c>
      <c r="C11" s="1464" t="s">
        <v>40</v>
      </c>
      <c r="D11" s="1464" t="s">
        <v>242</v>
      </c>
      <c r="E11" s="1464" t="s">
        <v>1159</v>
      </c>
      <c r="F11" s="1820"/>
      <c r="G11" s="1820"/>
      <c r="H11" s="1820"/>
      <c r="I11" s="1483" t="s">
        <v>1158</v>
      </c>
      <c r="J11" s="1483" t="s">
        <v>48</v>
      </c>
      <c r="K11" s="1483" t="s">
        <v>618</v>
      </c>
      <c r="L11" s="69" t="s">
        <v>27</v>
      </c>
      <c r="M11" s="69" t="s">
        <v>28</v>
      </c>
      <c r="N11" s="70">
        <v>0</v>
      </c>
      <c r="O11" s="1500">
        <v>0</v>
      </c>
      <c r="P11" s="70">
        <f>6198.455-4439.1-28.555-1730.8</f>
        <v>0</v>
      </c>
      <c r="Q11" s="70">
        <f>4326.6+5402.1+312.1+400</f>
        <v>10440.800000000001</v>
      </c>
      <c r="R11" s="70">
        <v>0</v>
      </c>
      <c r="S11" s="70">
        <v>0</v>
      </c>
      <c r="W11" s="19"/>
      <c r="X11" s="19"/>
      <c r="Y11" s="19"/>
    </row>
    <row r="12" spans="1:25" s="18" customFormat="1" ht="39.75" customHeight="1">
      <c r="A12" s="1818"/>
      <c r="B12" s="1643"/>
      <c r="C12" s="66" t="s">
        <v>1348</v>
      </c>
      <c r="D12" s="66" t="s">
        <v>237</v>
      </c>
      <c r="E12" s="66" t="s">
        <v>1349</v>
      </c>
      <c r="F12" s="1643"/>
      <c r="G12" s="1643"/>
      <c r="H12" s="1643"/>
      <c r="I12" s="72" t="s">
        <v>60</v>
      </c>
      <c r="J12" s="72" t="s">
        <v>48</v>
      </c>
      <c r="K12" s="72" t="s">
        <v>51</v>
      </c>
      <c r="L12" s="73"/>
      <c r="M12" s="73"/>
      <c r="N12" s="17"/>
      <c r="O12" s="1501"/>
      <c r="P12" s="17"/>
      <c r="Q12" s="17"/>
      <c r="R12" s="17"/>
      <c r="S12" s="17"/>
      <c r="W12" s="19"/>
      <c r="X12" s="19"/>
      <c r="Y12" s="19"/>
    </row>
    <row r="13" spans="1:25" s="18" customFormat="1" ht="171.75" customHeight="1">
      <c r="A13" s="74" t="s">
        <v>579</v>
      </c>
      <c r="B13" s="75">
        <v>1007</v>
      </c>
      <c r="C13" s="76" t="s">
        <v>40</v>
      </c>
      <c r="D13" s="76" t="s">
        <v>1350</v>
      </c>
      <c r="E13" s="76" t="s">
        <v>1160</v>
      </c>
      <c r="F13" s="75"/>
      <c r="G13" s="75"/>
      <c r="H13" s="75"/>
      <c r="I13" s="75"/>
      <c r="J13" s="75"/>
      <c r="K13" s="75"/>
      <c r="L13" s="75" t="s">
        <v>29</v>
      </c>
      <c r="M13" s="75" t="s">
        <v>30</v>
      </c>
      <c r="N13" s="77">
        <f>SUM(N14:N17)</f>
        <v>3651.9760000000001</v>
      </c>
      <c r="O13" s="1502">
        <f t="shared" ref="O13:S13" si="4">SUM(O14:O17)</f>
        <v>3568.922</v>
      </c>
      <c r="P13" s="1570">
        <f t="shared" si="4"/>
        <v>4257.3999999999996</v>
      </c>
      <c r="Q13" s="77">
        <f t="shared" si="4"/>
        <v>5699.8</v>
      </c>
      <c r="R13" s="77">
        <f t="shared" si="4"/>
        <v>4709.8</v>
      </c>
      <c r="S13" s="77">
        <f t="shared" si="4"/>
        <v>4907.8</v>
      </c>
      <c r="W13" s="19"/>
      <c r="X13" s="19"/>
      <c r="Y13" s="19"/>
    </row>
    <row r="14" spans="1:25" s="9" customFormat="1" ht="75.75" customHeight="1">
      <c r="A14" s="1302" t="s">
        <v>648</v>
      </c>
      <c r="B14" s="79"/>
      <c r="C14" s="76"/>
      <c r="D14" s="76"/>
      <c r="E14" s="76"/>
      <c r="F14" s="1653" t="s">
        <v>1163</v>
      </c>
      <c r="G14" s="76" t="s">
        <v>516</v>
      </c>
      <c r="H14" s="76" t="s">
        <v>1351</v>
      </c>
      <c r="I14" s="80" t="s">
        <v>1161</v>
      </c>
      <c r="J14" s="80" t="s">
        <v>649</v>
      </c>
      <c r="K14" s="80" t="s">
        <v>555</v>
      </c>
      <c r="L14" s="76"/>
      <c r="M14" s="76"/>
      <c r="N14" s="81"/>
      <c r="O14" s="1120"/>
      <c r="P14" s="81"/>
      <c r="Q14" s="81"/>
      <c r="R14" s="81"/>
      <c r="S14" s="81"/>
      <c r="W14" s="33"/>
      <c r="X14" s="33"/>
      <c r="Y14" s="33"/>
    </row>
    <row r="15" spans="1:25" s="9" customFormat="1" ht="49.5" customHeight="1">
      <c r="A15" s="36" t="s">
        <v>703</v>
      </c>
      <c r="B15" s="35" t="s">
        <v>300</v>
      </c>
      <c r="C15" s="82"/>
      <c r="D15" s="82"/>
      <c r="E15" s="82"/>
      <c r="F15" s="1807"/>
      <c r="G15" s="82"/>
      <c r="H15" s="82"/>
      <c r="I15" s="83" t="s">
        <v>574</v>
      </c>
      <c r="J15" s="83" t="s">
        <v>48</v>
      </c>
      <c r="K15" s="83" t="s">
        <v>575</v>
      </c>
      <c r="L15" s="82"/>
      <c r="M15" s="82"/>
      <c r="N15" s="84">
        <v>0</v>
      </c>
      <c r="O15" s="419">
        <v>0</v>
      </c>
      <c r="P15" s="84">
        <f>315.789-315.789</f>
        <v>0</v>
      </c>
      <c r="Q15" s="84">
        <f>1921</f>
        <v>1921</v>
      </c>
      <c r="R15" s="84">
        <v>0</v>
      </c>
      <c r="S15" s="84">
        <v>0</v>
      </c>
      <c r="W15" s="33"/>
      <c r="X15" s="33"/>
      <c r="Y15" s="33"/>
    </row>
    <row r="16" spans="1:25" s="9" customFormat="1" ht="89.25" customHeight="1">
      <c r="A16" s="36"/>
      <c r="B16" s="35" t="s">
        <v>326</v>
      </c>
      <c r="C16" s="82"/>
      <c r="D16" s="82"/>
      <c r="E16" s="82"/>
      <c r="F16" s="1807"/>
      <c r="G16" s="82"/>
      <c r="H16" s="82"/>
      <c r="I16" s="83" t="s">
        <v>1311</v>
      </c>
      <c r="J16" s="83" t="s">
        <v>48</v>
      </c>
      <c r="K16" s="83" t="s">
        <v>57</v>
      </c>
      <c r="L16" s="82"/>
      <c r="M16" s="82"/>
      <c r="N16" s="84">
        <v>83.054000000000002</v>
      </c>
      <c r="O16" s="419">
        <v>0</v>
      </c>
      <c r="P16" s="84">
        <f>6000-6000</f>
        <v>0</v>
      </c>
      <c r="Q16" s="84"/>
      <c r="R16" s="84"/>
      <c r="S16" s="84"/>
      <c r="W16" s="33"/>
      <c r="X16" s="33"/>
      <c r="Y16" s="33"/>
    </row>
    <row r="17" spans="1:25" s="9" customFormat="1" ht="125.25" customHeight="1">
      <c r="A17" s="85" t="s">
        <v>702</v>
      </c>
      <c r="B17" s="86"/>
      <c r="C17" s="87"/>
      <c r="D17" s="87"/>
      <c r="E17" s="87"/>
      <c r="F17" s="87"/>
      <c r="G17" s="87"/>
      <c r="H17" s="87"/>
      <c r="I17" s="88" t="s">
        <v>1602</v>
      </c>
      <c r="J17" s="88" t="s">
        <v>48</v>
      </c>
      <c r="K17" s="88" t="s">
        <v>341</v>
      </c>
      <c r="L17" s="87"/>
      <c r="M17" s="87"/>
      <c r="N17" s="89">
        <v>3568.922</v>
      </c>
      <c r="O17" s="512">
        <v>3568.922</v>
      </c>
      <c r="P17" s="89">
        <v>4257.3999999999996</v>
      </c>
      <c r="Q17" s="89">
        <v>3778.8</v>
      </c>
      <c r="R17" s="89">
        <v>4709.8</v>
      </c>
      <c r="S17" s="89">
        <v>4907.8</v>
      </c>
      <c r="W17" s="33"/>
      <c r="X17" s="33"/>
      <c r="Y17" s="33"/>
    </row>
    <row r="18" spans="1:25" s="18" customFormat="1" ht="60.75" customHeight="1">
      <c r="A18" s="90" t="s">
        <v>528</v>
      </c>
      <c r="B18" s="91" t="s">
        <v>342</v>
      </c>
      <c r="C18" s="82" t="s">
        <v>1352</v>
      </c>
      <c r="D18" s="1422" t="s">
        <v>1353</v>
      </c>
      <c r="E18" s="76" t="s">
        <v>1160</v>
      </c>
      <c r="F18" s="16"/>
      <c r="G18" s="16"/>
      <c r="H18" s="16"/>
      <c r="I18" s="93"/>
      <c r="J18" s="93"/>
      <c r="K18" s="93"/>
      <c r="L18" s="16" t="s">
        <v>29</v>
      </c>
      <c r="M18" s="16" t="s">
        <v>31</v>
      </c>
      <c r="N18" s="94">
        <f>SUM(N19:N22)</f>
        <v>4531.5630000000001</v>
      </c>
      <c r="O18" s="359">
        <f t="shared" ref="O18:Q18" si="5">SUM(O19:O22)</f>
        <v>4531.5630000000001</v>
      </c>
      <c r="P18" s="1571">
        <f t="shared" si="5"/>
        <v>7275.1</v>
      </c>
      <c r="Q18" s="94">
        <f t="shared" si="5"/>
        <v>4633.3999999999996</v>
      </c>
      <c r="R18" s="94">
        <f t="shared" ref="R18:S18" si="6">SUM(R19:R22)</f>
        <v>0</v>
      </c>
      <c r="S18" s="94">
        <f t="shared" si="6"/>
        <v>0</v>
      </c>
      <c r="W18" s="19"/>
      <c r="X18" s="19"/>
      <c r="Y18" s="19"/>
    </row>
    <row r="19" spans="1:25" s="9" customFormat="1" ht="77.25" customHeight="1">
      <c r="A19" s="1302" t="s">
        <v>646</v>
      </c>
      <c r="B19" s="95"/>
      <c r="C19" s="1653"/>
      <c r="D19" s="1653"/>
      <c r="E19" s="1653"/>
      <c r="F19" s="96" t="s">
        <v>24</v>
      </c>
      <c r="G19" s="28" t="s">
        <v>24</v>
      </c>
      <c r="H19" s="97" t="s">
        <v>24</v>
      </c>
      <c r="I19" s="80" t="s">
        <v>1161</v>
      </c>
      <c r="J19" s="80" t="s">
        <v>641</v>
      </c>
      <c r="K19" s="80" t="s">
        <v>555</v>
      </c>
      <c r="L19" s="76"/>
      <c r="M19" s="76"/>
      <c r="N19" s="81"/>
      <c r="O19" s="1503"/>
      <c r="P19" s="81"/>
      <c r="Q19" s="81"/>
      <c r="R19" s="81"/>
      <c r="S19" s="81"/>
      <c r="W19" s="33"/>
      <c r="X19" s="33"/>
      <c r="Y19" s="33"/>
    </row>
    <row r="20" spans="1:25" s="9" customFormat="1" ht="122.25" customHeight="1">
      <c r="A20" s="98" t="s">
        <v>821</v>
      </c>
      <c r="B20" s="91"/>
      <c r="C20" s="1807"/>
      <c r="D20" s="1807"/>
      <c r="E20" s="1807"/>
      <c r="F20" s="99"/>
      <c r="G20" s="100"/>
      <c r="H20" s="101"/>
      <c r="I20" s="1" t="s">
        <v>1603</v>
      </c>
      <c r="J20" s="102" t="s">
        <v>398</v>
      </c>
      <c r="K20" s="102" t="s">
        <v>56</v>
      </c>
      <c r="L20" s="82"/>
      <c r="M20" s="82"/>
      <c r="N20" s="84">
        <v>4531.5630000000001</v>
      </c>
      <c r="O20" s="419">
        <v>4531.5630000000001</v>
      </c>
      <c r="P20" s="84">
        <v>1334</v>
      </c>
      <c r="Q20" s="84">
        <v>4633.3999999999996</v>
      </c>
      <c r="R20" s="84">
        <v>0</v>
      </c>
      <c r="S20" s="84">
        <v>0</v>
      </c>
      <c r="W20" s="33"/>
      <c r="X20" s="33"/>
      <c r="Y20" s="33"/>
    </row>
    <row r="21" spans="1:25" s="9" customFormat="1" ht="58.5" customHeight="1">
      <c r="A21" s="1805" t="s">
        <v>853</v>
      </c>
      <c r="B21" s="35" t="s">
        <v>338</v>
      </c>
      <c r="C21" s="1807"/>
      <c r="D21" s="1807"/>
      <c r="E21" s="1807"/>
      <c r="F21" s="1809" t="s">
        <v>1163</v>
      </c>
      <c r="G21" s="1423" t="s">
        <v>1164</v>
      </c>
      <c r="H21" s="1320" t="s">
        <v>1354</v>
      </c>
      <c r="I21" s="1811" t="s">
        <v>1563</v>
      </c>
      <c r="J21" s="1811" t="s">
        <v>48</v>
      </c>
      <c r="K21" s="1811" t="s">
        <v>1061</v>
      </c>
      <c r="L21" s="82"/>
      <c r="M21" s="82"/>
      <c r="N21" s="84">
        <v>0</v>
      </c>
      <c r="O21" s="419">
        <v>0</v>
      </c>
      <c r="P21" s="84">
        <v>1350</v>
      </c>
      <c r="Q21" s="84"/>
      <c r="R21" s="84"/>
      <c r="S21" s="84"/>
      <c r="W21" s="33"/>
      <c r="X21" s="33"/>
      <c r="Y21" s="33"/>
    </row>
    <row r="22" spans="1:25" s="9" customFormat="1" ht="54.75" customHeight="1">
      <c r="A22" s="1806"/>
      <c r="B22" s="103"/>
      <c r="C22" s="87"/>
      <c r="D22" s="87"/>
      <c r="E22" s="87"/>
      <c r="F22" s="1810"/>
      <c r="G22" s="1484"/>
      <c r="H22" s="1212"/>
      <c r="I22" s="1812"/>
      <c r="J22" s="1812"/>
      <c r="K22" s="1812"/>
      <c r="L22" s="87"/>
      <c r="M22" s="87"/>
      <c r="N22" s="89">
        <v>0</v>
      </c>
      <c r="O22" s="512">
        <v>0</v>
      </c>
      <c r="P22" s="89">
        <v>4591.1000000000004</v>
      </c>
      <c r="Q22" s="89"/>
      <c r="R22" s="89"/>
      <c r="S22" s="89"/>
      <c r="W22" s="33"/>
      <c r="X22" s="33"/>
      <c r="Y22" s="33"/>
    </row>
    <row r="23" spans="1:25" s="18" customFormat="1" ht="63.75" customHeight="1">
      <c r="A23" s="104" t="s">
        <v>343</v>
      </c>
      <c r="B23" s="105">
        <v>1010</v>
      </c>
      <c r="C23" s="2" t="s">
        <v>1352</v>
      </c>
      <c r="D23" s="2" t="s">
        <v>1353</v>
      </c>
      <c r="E23" s="76" t="s">
        <v>1160</v>
      </c>
      <c r="F23" s="104"/>
      <c r="G23" s="106"/>
      <c r="H23" s="104"/>
      <c r="I23" s="107"/>
      <c r="J23" s="108"/>
      <c r="K23" s="108"/>
      <c r="L23" s="105" t="s">
        <v>29</v>
      </c>
      <c r="M23" s="105" t="s">
        <v>31</v>
      </c>
      <c r="N23" s="109">
        <f>SUM(N24:N28)</f>
        <v>7823.2640000000001</v>
      </c>
      <c r="O23" s="109">
        <f t="shared" ref="O23:S23" si="7">SUM(O24:O28)</f>
        <v>7271.3280000000004</v>
      </c>
      <c r="P23" s="1572">
        <f t="shared" si="7"/>
        <v>9674.2000000000007</v>
      </c>
      <c r="Q23" s="109">
        <f t="shared" si="7"/>
        <v>13340.1</v>
      </c>
      <c r="R23" s="109">
        <f t="shared" si="7"/>
        <v>1465.3</v>
      </c>
      <c r="S23" s="109">
        <f t="shared" si="7"/>
        <v>0</v>
      </c>
      <c r="W23" s="19"/>
      <c r="X23" s="19"/>
      <c r="Y23" s="19"/>
    </row>
    <row r="24" spans="1:25" s="9" customFormat="1" ht="75.75" customHeight="1">
      <c r="A24" s="1302" t="s">
        <v>647</v>
      </c>
      <c r="B24" s="110"/>
      <c r="C24" s="1653"/>
      <c r="D24" s="76"/>
      <c r="E24" s="76"/>
      <c r="F24" s="78"/>
      <c r="G24" s="78"/>
      <c r="H24" s="78"/>
      <c r="I24" s="80" t="s">
        <v>1161</v>
      </c>
      <c r="J24" s="80" t="s">
        <v>641</v>
      </c>
      <c r="K24" s="80" t="s">
        <v>555</v>
      </c>
      <c r="L24" s="76"/>
      <c r="M24" s="76"/>
      <c r="N24" s="81"/>
      <c r="O24" s="1503"/>
      <c r="P24" s="81"/>
      <c r="Q24" s="81"/>
      <c r="R24" s="81"/>
      <c r="S24" s="81"/>
      <c r="W24" s="33"/>
      <c r="X24" s="33"/>
      <c r="Y24" s="33"/>
    </row>
    <row r="25" spans="1:25" s="9" customFormat="1" ht="63.75" customHeight="1">
      <c r="A25" s="36" t="s">
        <v>821</v>
      </c>
      <c r="B25" s="90"/>
      <c r="C25" s="1807"/>
      <c r="D25" s="82"/>
      <c r="E25" s="82"/>
      <c r="F25" s="36"/>
      <c r="G25" s="36"/>
      <c r="H25" s="36"/>
      <c r="I25" s="111" t="s">
        <v>1534</v>
      </c>
      <c r="J25" s="102" t="s">
        <v>48</v>
      </c>
      <c r="K25" s="102" t="s">
        <v>439</v>
      </c>
      <c r="L25" s="82"/>
      <c r="M25" s="82"/>
      <c r="N25" s="84">
        <v>7823.2640000000001</v>
      </c>
      <c r="O25" s="419">
        <v>7271.3280000000004</v>
      </c>
      <c r="P25" s="84">
        <v>9674.2000000000007</v>
      </c>
      <c r="Q25" s="84">
        <v>13340.1</v>
      </c>
      <c r="R25" s="84">
        <v>1465.3</v>
      </c>
      <c r="S25" s="84">
        <v>0</v>
      </c>
      <c r="W25" s="33"/>
      <c r="X25" s="33"/>
      <c r="Y25" s="33"/>
    </row>
    <row r="26" spans="1:25" s="9" customFormat="1" ht="124.5" customHeight="1">
      <c r="A26" s="85"/>
      <c r="B26" s="112"/>
      <c r="C26" s="72"/>
      <c r="D26" s="72"/>
      <c r="E26" s="72"/>
      <c r="F26" s="113"/>
      <c r="G26" s="113"/>
      <c r="H26" s="113"/>
      <c r="I26" s="1" t="s">
        <v>1603</v>
      </c>
      <c r="J26" s="114" t="s">
        <v>398</v>
      </c>
      <c r="K26" s="114" t="s">
        <v>56</v>
      </c>
      <c r="L26" s="87"/>
      <c r="M26" s="87"/>
      <c r="N26" s="89"/>
      <c r="O26" s="512"/>
      <c r="P26" s="89"/>
      <c r="Q26" s="89"/>
      <c r="R26" s="89"/>
      <c r="S26" s="89"/>
      <c r="W26" s="33"/>
      <c r="X26" s="33"/>
      <c r="Y26" s="33"/>
    </row>
    <row r="27" spans="1:25" s="18" customFormat="1" ht="53.25" hidden="1" customHeight="1">
      <c r="A27" s="104" t="s">
        <v>344</v>
      </c>
      <c r="B27" s="105">
        <v>1013</v>
      </c>
      <c r="C27" s="2" t="s">
        <v>1352</v>
      </c>
      <c r="D27" s="2" t="s">
        <v>1355</v>
      </c>
      <c r="E27" s="76" t="s">
        <v>1160</v>
      </c>
      <c r="F27" s="50"/>
      <c r="G27" s="2"/>
      <c r="H27" s="115"/>
      <c r="I27" s="116" t="s">
        <v>1165</v>
      </c>
      <c r="J27" s="230" t="s">
        <v>48</v>
      </c>
      <c r="K27" s="230" t="s">
        <v>1564</v>
      </c>
      <c r="L27" s="105"/>
      <c r="M27" s="105"/>
      <c r="N27" s="109"/>
      <c r="O27" s="109"/>
      <c r="P27" s="109"/>
      <c r="Q27" s="109"/>
      <c r="R27" s="109"/>
      <c r="S27" s="109"/>
      <c r="W27" s="19"/>
      <c r="X27" s="19"/>
      <c r="Y27" s="19"/>
    </row>
    <row r="28" spans="1:25" s="18" customFormat="1" ht="120" hidden="1">
      <c r="A28" s="104" t="s">
        <v>345</v>
      </c>
      <c r="B28" s="105">
        <v>1014</v>
      </c>
      <c r="C28" s="118" t="s">
        <v>1352</v>
      </c>
      <c r="D28" s="118" t="s">
        <v>1356</v>
      </c>
      <c r="E28" s="76" t="s">
        <v>1160</v>
      </c>
      <c r="F28" s="50"/>
      <c r="G28" s="2"/>
      <c r="H28" s="115"/>
      <c r="I28" s="116"/>
      <c r="J28" s="117"/>
      <c r="K28" s="117"/>
      <c r="L28" s="105"/>
      <c r="M28" s="105"/>
      <c r="N28" s="109"/>
      <c r="O28" s="109"/>
      <c r="P28" s="109"/>
      <c r="Q28" s="109"/>
      <c r="R28" s="109"/>
      <c r="S28" s="109"/>
      <c r="W28" s="19"/>
      <c r="X28" s="19"/>
      <c r="Y28" s="19"/>
    </row>
    <row r="29" spans="1:25" s="18" customFormat="1" ht="63" customHeight="1">
      <c r="A29" s="104" t="s">
        <v>346</v>
      </c>
      <c r="B29" s="105">
        <v>1015</v>
      </c>
      <c r="C29" s="50" t="s">
        <v>1352</v>
      </c>
      <c r="D29" s="50" t="s">
        <v>1357</v>
      </c>
      <c r="E29" s="76" t="s">
        <v>1160</v>
      </c>
      <c r="F29" s="104"/>
      <c r="G29" s="104"/>
      <c r="H29" s="104"/>
      <c r="I29" s="119"/>
      <c r="J29" s="107"/>
      <c r="K29" s="107"/>
      <c r="L29" s="105"/>
      <c r="M29" s="105"/>
      <c r="N29" s="109">
        <f>SUM(N30:N49)</f>
        <v>1159.1769999999999</v>
      </c>
      <c r="O29" s="109">
        <f t="shared" ref="O29:S29" si="8">SUM(O30:O49)</f>
        <v>1117.8979999999999</v>
      </c>
      <c r="P29" s="1572">
        <f>SUM(P30:P49)</f>
        <v>5160.9079999999994</v>
      </c>
      <c r="Q29" s="109">
        <f t="shared" si="8"/>
        <v>1438</v>
      </c>
      <c r="R29" s="109">
        <f t="shared" si="8"/>
        <v>370.3</v>
      </c>
      <c r="S29" s="109">
        <f t="shared" si="8"/>
        <v>310.3</v>
      </c>
      <c r="W29" s="19"/>
      <c r="X29" s="19"/>
      <c r="Y29" s="19"/>
    </row>
    <row r="30" spans="1:25" s="9" customFormat="1" ht="12.75" customHeight="1">
      <c r="A30" s="120" t="s">
        <v>643</v>
      </c>
      <c r="B30" s="121"/>
      <c r="C30" s="1808" t="s">
        <v>61</v>
      </c>
      <c r="D30" s="1808" t="s">
        <v>1358</v>
      </c>
      <c r="E30" s="1808" t="s">
        <v>63</v>
      </c>
      <c r="F30" s="1616" t="s">
        <v>64</v>
      </c>
      <c r="G30" s="1616" t="s">
        <v>1359</v>
      </c>
      <c r="H30" s="1616" t="s">
        <v>65</v>
      </c>
      <c r="I30" s="122"/>
      <c r="J30" s="1413"/>
      <c r="K30" s="1413"/>
      <c r="L30" s="123"/>
      <c r="M30" s="123"/>
      <c r="N30" s="124"/>
      <c r="O30" s="124"/>
      <c r="P30" s="124"/>
      <c r="Q30" s="517"/>
      <c r="R30" s="517"/>
      <c r="S30" s="517"/>
      <c r="W30" s="33"/>
      <c r="X30" s="33"/>
      <c r="Y30" s="33"/>
    </row>
    <row r="31" spans="1:25" s="9" customFormat="1" ht="36.75" customHeight="1">
      <c r="A31" s="125" t="s">
        <v>704</v>
      </c>
      <c r="B31" s="126"/>
      <c r="C31" s="1767"/>
      <c r="D31" s="1767"/>
      <c r="E31" s="1767"/>
      <c r="F31" s="1617"/>
      <c r="G31" s="1617"/>
      <c r="H31" s="1617"/>
      <c r="I31" s="1719" t="s">
        <v>1565</v>
      </c>
      <c r="J31" s="1617" t="s">
        <v>649</v>
      </c>
      <c r="K31" s="1617" t="s">
        <v>555</v>
      </c>
      <c r="L31" s="7"/>
      <c r="M31" s="7"/>
      <c r="N31" s="127"/>
      <c r="O31" s="134"/>
      <c r="P31" s="127"/>
      <c r="Q31" s="314"/>
      <c r="R31" s="314"/>
      <c r="S31" s="314"/>
      <c r="W31" s="33"/>
      <c r="X31" s="33"/>
      <c r="Y31" s="33"/>
    </row>
    <row r="32" spans="1:25" s="9" customFormat="1" ht="37.5" customHeight="1">
      <c r="A32" s="1813" t="s">
        <v>705</v>
      </c>
      <c r="B32" s="126"/>
      <c r="C32" s="1767"/>
      <c r="D32" s="1767"/>
      <c r="E32" s="1767"/>
      <c r="F32" s="1617"/>
      <c r="G32" s="1617"/>
      <c r="H32" s="1617"/>
      <c r="I32" s="1719"/>
      <c r="J32" s="1617"/>
      <c r="K32" s="1617"/>
      <c r="L32" s="7" t="s">
        <v>32</v>
      </c>
      <c r="M32" s="7" t="s">
        <v>16</v>
      </c>
      <c r="N32" s="127">
        <v>172.39500000000001</v>
      </c>
      <c r="O32" s="134">
        <v>172.39500000000001</v>
      </c>
      <c r="P32" s="127">
        <v>178.3</v>
      </c>
      <c r="Q32" s="314"/>
      <c r="R32" s="314"/>
      <c r="S32" s="314"/>
      <c r="W32" s="33"/>
      <c r="X32" s="33"/>
      <c r="Y32" s="33"/>
    </row>
    <row r="33" spans="1:25" s="9" customFormat="1" ht="25.5" customHeight="1">
      <c r="A33" s="1813"/>
      <c r="B33" s="211" t="s">
        <v>1548</v>
      </c>
      <c r="C33" s="1447"/>
      <c r="D33" s="1447"/>
      <c r="E33" s="1447"/>
      <c r="F33" s="1443"/>
      <c r="G33" s="1443"/>
      <c r="H33" s="1443"/>
      <c r="I33" s="1411"/>
      <c r="J33" s="1443"/>
      <c r="K33" s="1443"/>
      <c r="L33" s="211" t="s">
        <v>25</v>
      </c>
      <c r="M33" s="211" t="s">
        <v>19</v>
      </c>
      <c r="N33" s="213">
        <v>0</v>
      </c>
      <c r="O33" s="213">
        <v>0</v>
      </c>
      <c r="P33" s="213">
        <v>200</v>
      </c>
      <c r="Q33" s="1265"/>
      <c r="R33" s="1265"/>
      <c r="S33" s="1265"/>
      <c r="W33" s="33"/>
      <c r="X33" s="33"/>
      <c r="Y33" s="33"/>
    </row>
    <row r="34" spans="1:25" s="9" customFormat="1" ht="59.25" customHeight="1">
      <c r="A34" s="128" t="s">
        <v>706</v>
      </c>
      <c r="B34" s="126"/>
      <c r="C34" s="129"/>
      <c r="D34" s="129"/>
      <c r="E34" s="129"/>
      <c r="F34" s="130"/>
      <c r="G34" s="130"/>
      <c r="H34" s="130"/>
      <c r="I34" s="1719" t="s">
        <v>340</v>
      </c>
      <c r="J34" s="131" t="s">
        <v>58</v>
      </c>
      <c r="K34" s="131" t="s">
        <v>59</v>
      </c>
      <c r="L34" s="7" t="s">
        <v>32</v>
      </c>
      <c r="M34" s="7" t="s">
        <v>16</v>
      </c>
      <c r="N34" s="127">
        <v>10</v>
      </c>
      <c r="O34" s="134">
        <v>10</v>
      </c>
      <c r="P34" s="127">
        <v>12.7</v>
      </c>
      <c r="Q34" s="314"/>
      <c r="R34" s="314"/>
      <c r="S34" s="314"/>
      <c r="W34" s="33"/>
      <c r="X34" s="33"/>
      <c r="Y34" s="33"/>
    </row>
    <row r="35" spans="1:25" s="9" customFormat="1" ht="35.25" customHeight="1">
      <c r="A35" s="128" t="s">
        <v>707</v>
      </c>
      <c r="B35" s="126"/>
      <c r="C35" s="129"/>
      <c r="D35" s="129"/>
      <c r="E35" s="129"/>
      <c r="F35" s="130"/>
      <c r="G35" s="130"/>
      <c r="H35" s="130"/>
      <c r="I35" s="1719"/>
      <c r="J35" s="131"/>
      <c r="K35" s="131"/>
      <c r="L35" s="7" t="s">
        <v>32</v>
      </c>
      <c r="M35" s="7" t="s">
        <v>16</v>
      </c>
      <c r="N35" s="127">
        <v>10</v>
      </c>
      <c r="O35" s="134">
        <v>10</v>
      </c>
      <c r="P35" s="127">
        <v>12.7</v>
      </c>
      <c r="Q35" s="314"/>
      <c r="R35" s="314"/>
      <c r="S35" s="314"/>
      <c r="W35" s="33"/>
      <c r="X35" s="33"/>
      <c r="Y35" s="33"/>
    </row>
    <row r="36" spans="1:25" s="9" customFormat="1" ht="51" customHeight="1">
      <c r="A36" s="128" t="s">
        <v>708</v>
      </c>
      <c r="B36" s="126"/>
      <c r="C36" s="129"/>
      <c r="D36" s="129"/>
      <c r="E36" s="129"/>
      <c r="F36" s="130"/>
      <c r="G36" s="130"/>
      <c r="H36" s="130"/>
      <c r="I36" s="5"/>
      <c r="J36" s="131"/>
      <c r="K36" s="131"/>
      <c r="L36" s="7" t="s">
        <v>32</v>
      </c>
      <c r="M36" s="7" t="s">
        <v>16</v>
      </c>
      <c r="N36" s="127">
        <v>15</v>
      </c>
      <c r="O36" s="134">
        <v>6.4749999999999996</v>
      </c>
      <c r="P36" s="127">
        <v>15</v>
      </c>
      <c r="Q36" s="314">
        <v>15</v>
      </c>
      <c r="R36" s="314">
        <v>0</v>
      </c>
      <c r="S36" s="314">
        <v>0</v>
      </c>
      <c r="W36" s="33"/>
      <c r="X36" s="33"/>
      <c r="Y36" s="33"/>
    </row>
    <row r="37" spans="1:25" s="9" customFormat="1" ht="48" customHeight="1">
      <c r="A37" s="128" t="s">
        <v>709</v>
      </c>
      <c r="B37" s="126"/>
      <c r="C37" s="129"/>
      <c r="D37" s="129"/>
      <c r="E37" s="129"/>
      <c r="F37" s="130"/>
      <c r="G37" s="130"/>
      <c r="H37" s="130"/>
      <c r="I37" s="5"/>
      <c r="J37" s="131"/>
      <c r="K37" s="131"/>
      <c r="L37" s="7" t="s">
        <v>32</v>
      </c>
      <c r="M37" s="7" t="s">
        <v>16</v>
      </c>
      <c r="N37" s="127">
        <v>10</v>
      </c>
      <c r="O37" s="134">
        <v>10</v>
      </c>
      <c r="P37" s="127">
        <v>12.7</v>
      </c>
      <c r="Q37" s="314"/>
      <c r="R37" s="314"/>
      <c r="S37" s="314"/>
      <c r="W37" s="33"/>
      <c r="X37" s="33"/>
      <c r="Y37" s="33"/>
    </row>
    <row r="38" spans="1:25" s="9" customFormat="1" ht="48.75" customHeight="1">
      <c r="A38" s="128" t="s">
        <v>721</v>
      </c>
      <c r="B38" s="126"/>
      <c r="C38" s="129"/>
      <c r="D38" s="129"/>
      <c r="E38" s="129"/>
      <c r="F38" s="130"/>
      <c r="G38" s="130"/>
      <c r="H38" s="130"/>
      <c r="I38" s="5"/>
      <c r="J38" s="131"/>
      <c r="K38" s="131"/>
      <c r="L38" s="7" t="s">
        <v>32</v>
      </c>
      <c r="M38" s="7" t="s">
        <v>16</v>
      </c>
      <c r="N38" s="127">
        <v>0</v>
      </c>
      <c r="O38" s="134">
        <v>0</v>
      </c>
      <c r="P38" s="127">
        <v>710</v>
      </c>
      <c r="Q38" s="314"/>
      <c r="R38" s="314"/>
      <c r="S38" s="314"/>
      <c r="W38" s="33"/>
      <c r="X38" s="33"/>
      <c r="Y38" s="33"/>
    </row>
    <row r="39" spans="1:25" s="9" customFormat="1" ht="39" customHeight="1">
      <c r="A39" s="128" t="s">
        <v>715</v>
      </c>
      <c r="B39" s="126"/>
      <c r="C39" s="129"/>
      <c r="D39" s="129"/>
      <c r="E39" s="129"/>
      <c r="F39" s="130"/>
      <c r="G39" s="130"/>
      <c r="H39" s="130"/>
      <c r="I39" s="5"/>
      <c r="J39" s="131"/>
      <c r="K39" s="131"/>
      <c r="L39" s="7" t="s">
        <v>32</v>
      </c>
      <c r="M39" s="7" t="s">
        <v>16</v>
      </c>
      <c r="N39" s="127">
        <v>0</v>
      </c>
      <c r="O39" s="134">
        <v>0</v>
      </c>
      <c r="P39" s="127">
        <v>0</v>
      </c>
      <c r="Q39" s="314">
        <f>365+20.1</f>
        <v>385.1</v>
      </c>
      <c r="R39" s="314">
        <v>0</v>
      </c>
      <c r="S39" s="314">
        <v>0</v>
      </c>
      <c r="W39" s="33"/>
      <c r="X39" s="33"/>
      <c r="Y39" s="33"/>
    </row>
    <row r="40" spans="1:25" s="9" customFormat="1" ht="75" customHeight="1">
      <c r="A40" s="125" t="s">
        <v>710</v>
      </c>
      <c r="B40" s="126"/>
      <c r="C40" s="129"/>
      <c r="D40" s="129"/>
      <c r="E40" s="129"/>
      <c r="F40" s="1750" t="s">
        <v>1360</v>
      </c>
      <c r="G40" s="1750" t="s">
        <v>48</v>
      </c>
      <c r="H40" s="1750" t="s">
        <v>1361</v>
      </c>
      <c r="I40" s="1388" t="s">
        <v>1566</v>
      </c>
      <c r="J40" s="131" t="s">
        <v>641</v>
      </c>
      <c r="K40" s="131" t="s">
        <v>555</v>
      </c>
      <c r="L40" s="7"/>
      <c r="M40" s="7"/>
      <c r="N40" s="127"/>
      <c r="O40" s="134"/>
      <c r="P40" s="127"/>
      <c r="Q40" s="314"/>
      <c r="R40" s="314"/>
      <c r="S40" s="314"/>
      <c r="W40" s="33"/>
      <c r="X40" s="33"/>
      <c r="Y40" s="33"/>
    </row>
    <row r="41" spans="1:25" s="9" customFormat="1" ht="48" customHeight="1">
      <c r="A41" s="128" t="s">
        <v>711</v>
      </c>
      <c r="B41" s="126"/>
      <c r="C41" s="129"/>
      <c r="D41" s="129"/>
      <c r="E41" s="129"/>
      <c r="F41" s="1750"/>
      <c r="G41" s="1750"/>
      <c r="H41" s="1750"/>
      <c r="I41" s="1804" t="s">
        <v>1525</v>
      </c>
      <c r="J41" s="131" t="s">
        <v>48</v>
      </c>
      <c r="K41" s="131" t="s">
        <v>1569</v>
      </c>
      <c r="L41" s="7" t="s">
        <v>32</v>
      </c>
      <c r="M41" s="7" t="s">
        <v>16</v>
      </c>
      <c r="N41" s="127">
        <v>120</v>
      </c>
      <c r="O41" s="134">
        <v>103.623</v>
      </c>
      <c r="P41" s="127">
        <v>120</v>
      </c>
      <c r="Q41" s="314">
        <v>120</v>
      </c>
      <c r="R41" s="314">
        <v>120</v>
      </c>
      <c r="S41" s="314">
        <v>60</v>
      </c>
      <c r="W41" s="33"/>
      <c r="X41" s="33"/>
      <c r="Y41" s="33"/>
    </row>
    <row r="42" spans="1:25" s="9" customFormat="1" ht="106.5" customHeight="1">
      <c r="A42" s="126"/>
      <c r="B42" s="35" t="s">
        <v>958</v>
      </c>
      <c r="C42" s="132"/>
      <c r="D42" s="132"/>
      <c r="E42" s="132"/>
      <c r="F42" s="1750"/>
      <c r="G42" s="133"/>
      <c r="H42" s="133"/>
      <c r="I42" s="1804"/>
      <c r="J42" s="1385"/>
      <c r="K42" s="1385"/>
      <c r="L42" s="1446" t="s">
        <v>32</v>
      </c>
      <c r="M42" s="1446" t="s">
        <v>16</v>
      </c>
      <c r="N42" s="134">
        <v>120</v>
      </c>
      <c r="O42" s="134">
        <v>103.623</v>
      </c>
      <c r="P42" s="134">
        <v>120</v>
      </c>
      <c r="Q42" s="519"/>
      <c r="R42" s="519"/>
      <c r="S42" s="519"/>
      <c r="W42" s="33"/>
      <c r="X42" s="33"/>
      <c r="Y42" s="33"/>
    </row>
    <row r="43" spans="1:25" s="9" customFormat="1" ht="56.25" customHeight="1">
      <c r="A43" s="135"/>
      <c r="B43" s="136"/>
      <c r="C43" s="137"/>
      <c r="D43" s="137"/>
      <c r="E43" s="137"/>
      <c r="F43" s="1750"/>
      <c r="G43" s="138"/>
      <c r="H43" s="138"/>
      <c r="I43" s="139"/>
      <c r="J43" s="1437"/>
      <c r="K43" s="1437"/>
      <c r="L43" s="140"/>
      <c r="M43" s="140"/>
      <c r="N43" s="141"/>
      <c r="O43" s="141"/>
      <c r="P43" s="141"/>
      <c r="Q43" s="518"/>
      <c r="R43" s="518"/>
      <c r="S43" s="518"/>
      <c r="W43" s="33"/>
      <c r="X43" s="33"/>
      <c r="Y43" s="33"/>
    </row>
    <row r="44" spans="1:25" s="9" customFormat="1" ht="36" customHeight="1">
      <c r="A44" s="128" t="s">
        <v>712</v>
      </c>
      <c r="B44" s="126"/>
      <c r="C44" s="129"/>
      <c r="D44" s="129"/>
      <c r="E44" s="129"/>
      <c r="F44" s="130"/>
      <c r="G44" s="130"/>
      <c r="H44" s="130"/>
      <c r="I44" s="5"/>
      <c r="J44" s="131"/>
      <c r="K44" s="131"/>
      <c r="L44" s="7" t="s">
        <v>32</v>
      </c>
      <c r="M44" s="7" t="s">
        <v>16</v>
      </c>
      <c r="N44" s="127">
        <v>464</v>
      </c>
      <c r="O44" s="134">
        <v>464</v>
      </c>
      <c r="P44" s="127">
        <v>2751.6</v>
      </c>
      <c r="Q44" s="314"/>
      <c r="R44" s="314"/>
      <c r="S44" s="314"/>
      <c r="W44" s="33"/>
      <c r="X44" s="33"/>
      <c r="Y44" s="33"/>
    </row>
    <row r="45" spans="1:25" s="9" customFormat="1" ht="60.75" customHeight="1">
      <c r="A45" s="128" t="s">
        <v>713</v>
      </c>
      <c r="B45" s="126"/>
      <c r="C45" s="129"/>
      <c r="D45" s="129"/>
      <c r="E45" s="129"/>
      <c r="F45" s="130"/>
      <c r="G45" s="130"/>
      <c r="H45" s="130"/>
      <c r="I45" s="1719" t="s">
        <v>340</v>
      </c>
      <c r="J45" s="1617" t="s">
        <v>58</v>
      </c>
      <c r="K45" s="1617" t="s">
        <v>59</v>
      </c>
      <c r="L45" s="7" t="s">
        <v>32</v>
      </c>
      <c r="M45" s="7" t="s">
        <v>16</v>
      </c>
      <c r="N45" s="127">
        <v>237.78200000000001</v>
      </c>
      <c r="O45" s="134">
        <v>237.78200000000001</v>
      </c>
      <c r="P45" s="127">
        <f>300.448+387.96</f>
        <v>688.4079999999999</v>
      </c>
      <c r="Q45" s="314"/>
      <c r="R45" s="314"/>
      <c r="S45" s="314"/>
      <c r="W45" s="33"/>
      <c r="X45" s="33"/>
      <c r="Y45" s="33"/>
    </row>
    <row r="46" spans="1:25" s="9" customFormat="1" ht="48.75" customHeight="1">
      <c r="A46" s="126" t="s">
        <v>714</v>
      </c>
      <c r="B46" s="126"/>
      <c r="C46" s="132"/>
      <c r="D46" s="132"/>
      <c r="E46" s="132"/>
      <c r="F46" s="130"/>
      <c r="G46" s="130"/>
      <c r="H46" s="130"/>
      <c r="I46" s="1719"/>
      <c r="J46" s="1617"/>
      <c r="K46" s="1617"/>
      <c r="L46" s="7" t="s">
        <v>32</v>
      </c>
      <c r="M46" s="7" t="s">
        <v>16</v>
      </c>
      <c r="N46" s="127">
        <v>0</v>
      </c>
      <c r="O46" s="134">
        <v>0</v>
      </c>
      <c r="P46" s="127">
        <v>339.5</v>
      </c>
      <c r="Q46" s="314">
        <v>250.3</v>
      </c>
      <c r="R46" s="314">
        <v>250.3</v>
      </c>
      <c r="S46" s="314">
        <v>250.3</v>
      </c>
      <c r="W46" s="33"/>
      <c r="X46" s="33"/>
      <c r="Y46" s="33"/>
    </row>
    <row r="47" spans="1:25" s="9" customFormat="1" ht="50.25" customHeight="1">
      <c r="A47" s="126" t="s">
        <v>1040</v>
      </c>
      <c r="B47" s="126"/>
      <c r="C47" s="132"/>
      <c r="D47" s="132"/>
      <c r="E47" s="132"/>
      <c r="F47" s="133"/>
      <c r="G47" s="133"/>
      <c r="H47" s="133"/>
      <c r="I47" s="1388"/>
      <c r="J47" s="1385"/>
      <c r="K47" s="1385"/>
      <c r="L47" s="1446" t="s">
        <v>32</v>
      </c>
      <c r="M47" s="1446" t="s">
        <v>16</v>
      </c>
      <c r="N47" s="134">
        <v>0</v>
      </c>
      <c r="O47" s="134">
        <v>0</v>
      </c>
      <c r="P47" s="134">
        <v>0</v>
      </c>
      <c r="Q47" s="519">
        <v>667.6</v>
      </c>
      <c r="R47" s="519">
        <v>0</v>
      </c>
      <c r="S47" s="519">
        <v>0</v>
      </c>
      <c r="W47" s="33"/>
      <c r="X47" s="33"/>
      <c r="Y47" s="33"/>
    </row>
    <row r="48" spans="1:25" s="150" customFormat="1" ht="53.25" hidden="1" customHeight="1">
      <c r="A48" s="142" t="s">
        <v>916</v>
      </c>
      <c r="B48" s="143"/>
      <c r="C48" s="144"/>
      <c r="D48" s="144"/>
      <c r="E48" s="144"/>
      <c r="F48" s="145"/>
      <c r="G48" s="145"/>
      <c r="H48" s="145"/>
      <c r="I48" s="146"/>
      <c r="J48" s="147"/>
      <c r="K48" s="147"/>
      <c r="L48" s="148"/>
      <c r="M48" s="148"/>
      <c r="N48" s="149"/>
      <c r="O48" s="1504"/>
      <c r="P48" s="149"/>
      <c r="Q48" s="313"/>
      <c r="R48" s="313"/>
      <c r="S48" s="313"/>
      <c r="W48" s="151"/>
      <c r="X48" s="151"/>
      <c r="Y48" s="151"/>
    </row>
    <row r="49" spans="1:25" s="9" customFormat="1" ht="53.25" hidden="1" customHeight="1">
      <c r="A49" s="135" t="s">
        <v>917</v>
      </c>
      <c r="B49" s="1440"/>
      <c r="C49" s="137"/>
      <c r="D49" s="137"/>
      <c r="E49" s="137"/>
      <c r="F49" s="138"/>
      <c r="G49" s="138"/>
      <c r="H49" s="138"/>
      <c r="I49" s="139"/>
      <c r="J49" s="1437"/>
      <c r="K49" s="1437"/>
      <c r="L49" s="140" t="s">
        <v>32</v>
      </c>
      <c r="M49" s="140" t="s">
        <v>16</v>
      </c>
      <c r="N49" s="141">
        <v>0</v>
      </c>
      <c r="O49" s="141"/>
      <c r="P49" s="141">
        <v>0</v>
      </c>
      <c r="Q49" s="518">
        <v>0</v>
      </c>
      <c r="R49" s="518">
        <v>0</v>
      </c>
      <c r="S49" s="518">
        <v>0</v>
      </c>
      <c r="W49" s="33"/>
      <c r="X49" s="33"/>
      <c r="Y49" s="33"/>
    </row>
    <row r="50" spans="1:25" s="18" customFormat="1" ht="96" hidden="1">
      <c r="A50" s="152" t="s">
        <v>1166</v>
      </c>
      <c r="B50" s="153">
        <v>1018</v>
      </c>
      <c r="C50" s="154" t="s">
        <v>40</v>
      </c>
      <c r="D50" s="154" t="s">
        <v>1167</v>
      </c>
      <c r="E50" s="50" t="s">
        <v>1160</v>
      </c>
      <c r="F50" s="155" t="s">
        <v>24</v>
      </c>
      <c r="G50" s="156" t="s">
        <v>24</v>
      </c>
      <c r="H50" s="157" t="s">
        <v>24</v>
      </c>
      <c r="I50" s="158" t="s">
        <v>70</v>
      </c>
      <c r="J50" s="158" t="s">
        <v>48</v>
      </c>
      <c r="K50" s="158" t="s">
        <v>69</v>
      </c>
      <c r="L50" s="159"/>
      <c r="M50" s="153"/>
      <c r="N50" s="109"/>
      <c r="O50" s="109"/>
      <c r="P50" s="109"/>
      <c r="Q50" s="109"/>
      <c r="R50" s="109"/>
      <c r="S50" s="109"/>
      <c r="W50" s="19"/>
      <c r="X50" s="19"/>
      <c r="Y50" s="19"/>
    </row>
    <row r="51" spans="1:25" s="9" customFormat="1" ht="137.25" customHeight="1">
      <c r="A51" s="1277" t="s">
        <v>529</v>
      </c>
      <c r="B51" s="1304">
        <v>1019</v>
      </c>
      <c r="C51" s="1487" t="s">
        <v>247</v>
      </c>
      <c r="D51" s="1487" t="s">
        <v>244</v>
      </c>
      <c r="E51" s="1496" t="s">
        <v>1160</v>
      </c>
      <c r="F51" s="1277" t="s">
        <v>24</v>
      </c>
      <c r="G51" s="1277" t="s">
        <v>24</v>
      </c>
      <c r="H51" s="1277" t="s">
        <v>24</v>
      </c>
      <c r="I51" s="1277" t="s">
        <v>24</v>
      </c>
      <c r="J51" s="1277" t="s">
        <v>24</v>
      </c>
      <c r="K51" s="1277" t="s">
        <v>24</v>
      </c>
      <c r="L51" s="1304"/>
      <c r="M51" s="1304"/>
      <c r="N51" s="1303">
        <f>SUM(N52:N68)</f>
        <v>192364.98400000003</v>
      </c>
      <c r="O51" s="1303">
        <f t="shared" ref="O51" si="9">SUM(O52:O68)</f>
        <v>191524.86900000001</v>
      </c>
      <c r="P51" s="1573">
        <f>SUM(P52:P68)</f>
        <v>217020.58499999999</v>
      </c>
      <c r="Q51" s="1303">
        <f t="shared" ref="Q51:S51" si="10">SUM(Q52:Q68)</f>
        <v>165821.69999999998</v>
      </c>
      <c r="R51" s="1303">
        <f t="shared" si="10"/>
        <v>177749.39999999997</v>
      </c>
      <c r="S51" s="1303">
        <f t="shared" si="10"/>
        <v>187725.9</v>
      </c>
      <c r="W51" s="33"/>
      <c r="X51" s="33"/>
      <c r="Y51" s="33"/>
    </row>
    <row r="52" spans="1:25" s="9" customFormat="1" ht="25.5" customHeight="1">
      <c r="A52" s="1305" t="s">
        <v>666</v>
      </c>
      <c r="B52" s="162"/>
      <c r="C52" s="1575" t="s">
        <v>1362</v>
      </c>
      <c r="D52" s="165" t="s">
        <v>48</v>
      </c>
      <c r="E52" s="165" t="s">
        <v>1363</v>
      </c>
      <c r="F52" s="163"/>
      <c r="G52" s="163"/>
      <c r="H52" s="163"/>
      <c r="I52" s="164"/>
      <c r="J52" s="165"/>
      <c r="K52" s="164"/>
      <c r="L52" s="166"/>
      <c r="M52" s="166"/>
      <c r="N52" s="81"/>
      <c r="O52" s="1503"/>
      <c r="P52" s="81"/>
      <c r="Q52" s="81"/>
      <c r="R52" s="81"/>
      <c r="S52" s="81"/>
      <c r="W52" s="33"/>
      <c r="X52" s="33"/>
      <c r="Y52" s="33"/>
    </row>
    <row r="53" spans="1:25" s="9" customFormat="1" ht="35.25" customHeight="1">
      <c r="A53" s="125" t="s">
        <v>716</v>
      </c>
      <c r="B53" s="167"/>
      <c r="C53" s="1576"/>
      <c r="D53" s="168"/>
      <c r="E53" s="168"/>
      <c r="F53" s="168"/>
      <c r="G53" s="168"/>
      <c r="H53" s="168"/>
      <c r="I53" s="1823" t="s">
        <v>1567</v>
      </c>
      <c r="J53" s="1409" t="s">
        <v>649</v>
      </c>
      <c r="K53" s="168" t="s">
        <v>555</v>
      </c>
      <c r="L53" s="35"/>
      <c r="M53" s="35"/>
      <c r="N53" s="84"/>
      <c r="O53" s="419"/>
      <c r="P53" s="84"/>
      <c r="Q53" s="84"/>
      <c r="R53" s="84"/>
      <c r="S53" s="84"/>
      <c r="W53" s="33"/>
      <c r="X53" s="33"/>
      <c r="Y53" s="33"/>
    </row>
    <row r="54" spans="1:25" s="9" customFormat="1" ht="60">
      <c r="A54" s="128" t="s">
        <v>717</v>
      </c>
      <c r="B54" s="167"/>
      <c r="C54" s="168"/>
      <c r="D54" s="168"/>
      <c r="E54" s="168"/>
      <c r="F54" s="168"/>
      <c r="G54" s="168"/>
      <c r="H54" s="168"/>
      <c r="I54" s="1823"/>
      <c r="J54" s="1409"/>
      <c r="K54" s="169"/>
      <c r="L54" s="35" t="s">
        <v>33</v>
      </c>
      <c r="M54" s="35" t="s">
        <v>25</v>
      </c>
      <c r="N54" s="84">
        <v>0</v>
      </c>
      <c r="O54" s="419">
        <v>0</v>
      </c>
      <c r="P54" s="84">
        <v>0</v>
      </c>
      <c r="Q54" s="84"/>
      <c r="R54" s="84"/>
      <c r="S54" s="84"/>
      <c r="W54" s="33"/>
      <c r="X54" s="33"/>
      <c r="Y54" s="33"/>
    </row>
    <row r="55" spans="1:25" s="9" customFormat="1" ht="50.25" customHeight="1">
      <c r="A55" s="170" t="s">
        <v>722</v>
      </c>
      <c r="B55" s="167"/>
      <c r="C55" s="168"/>
      <c r="D55" s="168"/>
      <c r="E55" s="168"/>
      <c r="F55" s="168"/>
      <c r="G55" s="168"/>
      <c r="H55" s="168"/>
      <c r="I55" s="1409"/>
      <c r="J55" s="1409"/>
      <c r="K55" s="169"/>
      <c r="L55" s="35" t="s">
        <v>33</v>
      </c>
      <c r="M55" s="35" t="s">
        <v>25</v>
      </c>
      <c r="N55" s="84">
        <v>0</v>
      </c>
      <c r="O55" s="419">
        <v>0</v>
      </c>
      <c r="P55" s="84">
        <v>0</v>
      </c>
      <c r="Q55" s="84"/>
      <c r="R55" s="84"/>
      <c r="S55" s="84"/>
      <c r="W55" s="33"/>
      <c r="X55" s="33"/>
      <c r="Y55" s="33"/>
    </row>
    <row r="56" spans="1:25" s="9" customFormat="1" ht="48" customHeight="1">
      <c r="A56" s="171" t="s">
        <v>718</v>
      </c>
      <c r="B56" s="167"/>
      <c r="C56" s="168"/>
      <c r="D56" s="168"/>
      <c r="E56" s="168"/>
      <c r="F56" s="168"/>
      <c r="G56" s="168"/>
      <c r="H56" s="168"/>
      <c r="I56" s="1696"/>
      <c r="J56" s="1409" t="s">
        <v>641</v>
      </c>
      <c r="K56" s="168" t="s">
        <v>555</v>
      </c>
      <c r="L56" s="35"/>
      <c r="M56" s="35"/>
      <c r="N56" s="84"/>
      <c r="O56" s="419"/>
      <c r="P56" s="84"/>
      <c r="Q56" s="84"/>
      <c r="R56" s="84"/>
      <c r="S56" s="84"/>
      <c r="W56" s="33"/>
      <c r="X56" s="33"/>
      <c r="Y56" s="33"/>
    </row>
    <row r="57" spans="1:25" s="9" customFormat="1" ht="48.75" customHeight="1">
      <c r="A57" s="167" t="s">
        <v>719</v>
      </c>
      <c r="B57" s="167"/>
      <c r="C57" s="168"/>
      <c r="D57" s="168"/>
      <c r="E57" s="168"/>
      <c r="F57" s="168"/>
      <c r="G57" s="168"/>
      <c r="H57" s="168"/>
      <c r="I57" s="1696"/>
      <c r="J57" s="1409"/>
      <c r="K57" s="169"/>
      <c r="L57" s="35" t="s">
        <v>33</v>
      </c>
      <c r="M57" s="35" t="s">
        <v>25</v>
      </c>
      <c r="N57" s="84">
        <v>0</v>
      </c>
      <c r="O57" s="419">
        <v>0</v>
      </c>
      <c r="P57" s="84">
        <v>0</v>
      </c>
      <c r="Q57" s="84"/>
      <c r="R57" s="84"/>
      <c r="S57" s="84"/>
      <c r="W57" s="33"/>
      <c r="X57" s="33"/>
      <c r="Y57" s="33"/>
    </row>
    <row r="58" spans="1:25" s="9" customFormat="1" ht="36" customHeight="1">
      <c r="A58" s="128" t="s">
        <v>723</v>
      </c>
      <c r="B58" s="167"/>
      <c r="C58" s="168"/>
      <c r="D58" s="168"/>
      <c r="E58" s="168"/>
      <c r="F58" s="168"/>
      <c r="G58" s="168"/>
      <c r="H58" s="168"/>
      <c r="I58" s="169"/>
      <c r="J58" s="1409"/>
      <c r="K58" s="169"/>
      <c r="L58" s="35" t="s">
        <v>33</v>
      </c>
      <c r="M58" s="35" t="s">
        <v>25</v>
      </c>
      <c r="N58" s="84">
        <v>681.822</v>
      </c>
      <c r="O58" s="419">
        <v>681.822</v>
      </c>
      <c r="P58" s="84">
        <f>3000-570</f>
        <v>2430</v>
      </c>
      <c r="Q58" s="84">
        <v>0</v>
      </c>
      <c r="R58" s="84">
        <v>400</v>
      </c>
      <c r="S58" s="84">
        <v>4800</v>
      </c>
      <c r="W58" s="33"/>
      <c r="X58" s="33"/>
      <c r="Y58" s="33"/>
    </row>
    <row r="59" spans="1:25" s="9" customFormat="1" ht="99" customHeight="1">
      <c r="A59" s="172" t="s">
        <v>720</v>
      </c>
      <c r="B59" s="173"/>
      <c r="C59" s="174"/>
      <c r="D59" s="174"/>
      <c r="E59" s="174"/>
      <c r="F59" s="174"/>
      <c r="G59" s="174"/>
      <c r="H59" s="174"/>
      <c r="I59" s="1409" t="s">
        <v>1570</v>
      </c>
      <c r="J59" s="1409" t="s">
        <v>48</v>
      </c>
      <c r="K59" s="1409" t="s">
        <v>555</v>
      </c>
      <c r="L59" s="173"/>
      <c r="M59" s="173"/>
      <c r="N59" s="175"/>
      <c r="O59" s="419"/>
      <c r="P59" s="175"/>
      <c r="Q59" s="175"/>
      <c r="R59" s="175"/>
      <c r="S59" s="175"/>
      <c r="W59" s="33"/>
      <c r="X59" s="33"/>
      <c r="Y59" s="33"/>
    </row>
    <row r="60" spans="1:25" s="9" customFormat="1" ht="65.25" customHeight="1">
      <c r="A60" s="1262" t="s">
        <v>1635</v>
      </c>
      <c r="B60" s="283"/>
      <c r="C60" s="1401"/>
      <c r="D60" s="1401"/>
      <c r="E60" s="1401"/>
      <c r="F60" s="1401"/>
      <c r="G60" s="1401"/>
      <c r="H60" s="1401"/>
      <c r="I60" s="209" t="s">
        <v>1572</v>
      </c>
      <c r="J60" s="5" t="s">
        <v>48</v>
      </c>
      <c r="K60" s="6" t="s">
        <v>279</v>
      </c>
      <c r="L60" s="283" t="s">
        <v>33</v>
      </c>
      <c r="M60" s="283" t="s">
        <v>25</v>
      </c>
      <c r="N60" s="1232"/>
      <c r="O60" s="1232"/>
      <c r="P60" s="1232"/>
      <c r="Q60" s="1232">
        <v>35.799999999999997</v>
      </c>
      <c r="R60" s="1232">
        <v>35.799999999999997</v>
      </c>
      <c r="S60" s="1232">
        <v>35.799999999999997</v>
      </c>
      <c r="W60" s="33"/>
      <c r="X60" s="33"/>
      <c r="Y60" s="33"/>
    </row>
    <row r="61" spans="1:25" s="9" customFormat="1" ht="200.25" customHeight="1">
      <c r="A61" s="176" t="s">
        <v>1636</v>
      </c>
      <c r="B61" s="173" t="s">
        <v>1010</v>
      </c>
      <c r="C61" s="174"/>
      <c r="D61" s="174"/>
      <c r="E61" s="174"/>
      <c r="F61" s="1791" t="s">
        <v>544</v>
      </c>
      <c r="G61" s="174" t="s">
        <v>58</v>
      </c>
      <c r="H61" s="174" t="s">
        <v>318</v>
      </c>
      <c r="I61" s="174" t="s">
        <v>925</v>
      </c>
      <c r="J61" s="168" t="s">
        <v>48</v>
      </c>
      <c r="K61" s="1409" t="s">
        <v>577</v>
      </c>
      <c r="L61" s="173" t="s">
        <v>33</v>
      </c>
      <c r="M61" s="173" t="s">
        <v>25</v>
      </c>
      <c r="N61" s="175">
        <v>251.79</v>
      </c>
      <c r="O61" s="419">
        <v>251.79</v>
      </c>
      <c r="P61" s="175">
        <f>251.8</f>
        <v>251.8</v>
      </c>
      <c r="Q61" s="175"/>
      <c r="R61" s="175"/>
      <c r="S61" s="175"/>
      <c r="W61" s="33"/>
      <c r="X61" s="33"/>
      <c r="Y61" s="33"/>
    </row>
    <row r="62" spans="1:25" s="9" customFormat="1" ht="36.75" customHeight="1">
      <c r="A62" s="176"/>
      <c r="B62" s="173"/>
      <c r="C62" s="174"/>
      <c r="D62" s="174"/>
      <c r="E62" s="174"/>
      <c r="F62" s="1791"/>
      <c r="G62" s="174"/>
      <c r="H62" s="174"/>
      <c r="I62" s="177" t="s">
        <v>60</v>
      </c>
      <c r="J62" s="178" t="s">
        <v>48</v>
      </c>
      <c r="K62" s="178" t="s">
        <v>51</v>
      </c>
      <c r="L62" s="173" t="s">
        <v>33</v>
      </c>
      <c r="M62" s="173" t="s">
        <v>25</v>
      </c>
      <c r="N62" s="175">
        <v>55759.3</v>
      </c>
      <c r="O62" s="419">
        <v>55174.3</v>
      </c>
      <c r="P62" s="175">
        <v>66234.600000000006</v>
      </c>
      <c r="Q62" s="175"/>
      <c r="R62" s="175"/>
      <c r="S62" s="175"/>
      <c r="W62" s="33"/>
      <c r="X62" s="33"/>
      <c r="Y62" s="33"/>
    </row>
    <row r="63" spans="1:25" s="9" customFormat="1" ht="87" customHeight="1">
      <c r="A63" s="98"/>
      <c r="B63" s="173"/>
      <c r="C63" s="161"/>
      <c r="D63" s="161"/>
      <c r="E63" s="161"/>
      <c r="F63" s="174" t="s">
        <v>245</v>
      </c>
      <c r="G63" s="174" t="s">
        <v>237</v>
      </c>
      <c r="H63" s="174" t="s">
        <v>166</v>
      </c>
      <c r="I63" s="174" t="s">
        <v>238</v>
      </c>
      <c r="J63" s="174" t="s">
        <v>48</v>
      </c>
      <c r="K63" s="179" t="s">
        <v>80</v>
      </c>
      <c r="L63" s="173" t="s">
        <v>33</v>
      </c>
      <c r="M63" s="173" t="s">
        <v>25</v>
      </c>
      <c r="N63" s="175">
        <f>115078.452+761.82</f>
        <v>115840.27200000001</v>
      </c>
      <c r="O63" s="419">
        <f>115077.905+650.95</f>
        <v>115728.855</v>
      </c>
      <c r="P63" s="175">
        <f>130210.173+110.87+212.24+550+101.33+595.845</f>
        <v>131780.45799999998</v>
      </c>
      <c r="Q63" s="175">
        <v>149168.4</v>
      </c>
      <c r="R63" s="175">
        <f>149694.3+10680</f>
        <v>160374.29999999999</v>
      </c>
      <c r="S63" s="175">
        <f>151797.9+13710</f>
        <v>165507.9</v>
      </c>
      <c r="W63" s="33"/>
      <c r="X63" s="33"/>
      <c r="Y63" s="33"/>
    </row>
    <row r="64" spans="1:25" s="9" customFormat="1" ht="87.75" customHeight="1">
      <c r="A64" s="98" t="s">
        <v>1637</v>
      </c>
      <c r="B64" s="173"/>
      <c r="C64" s="174"/>
      <c r="D64" s="174"/>
      <c r="E64" s="174"/>
      <c r="F64" s="177"/>
      <c r="G64" s="174"/>
      <c r="H64" s="174"/>
      <c r="I64" s="174" t="s">
        <v>593</v>
      </c>
      <c r="J64" s="174" t="s">
        <v>48</v>
      </c>
      <c r="K64" s="179" t="s">
        <v>571</v>
      </c>
      <c r="L64" s="173" t="s">
        <v>33</v>
      </c>
      <c r="M64" s="173" t="s">
        <v>28</v>
      </c>
      <c r="N64" s="175">
        <v>19179.099999999999</v>
      </c>
      <c r="O64" s="419">
        <v>19035.401999999998</v>
      </c>
      <c r="P64" s="175">
        <f>14849.627+500+380.2</f>
        <v>15729.827000000001</v>
      </c>
      <c r="Q64" s="175">
        <v>16617.5</v>
      </c>
      <c r="R64" s="175">
        <v>16939.3</v>
      </c>
      <c r="S64" s="175">
        <v>17382.2</v>
      </c>
      <c r="W64" s="33"/>
      <c r="X64" s="33"/>
      <c r="Y64" s="33"/>
    </row>
    <row r="65" spans="1:25" s="9" customFormat="1" ht="199.5" customHeight="1">
      <c r="A65" s="98" t="s">
        <v>1638</v>
      </c>
      <c r="B65" s="180" t="s">
        <v>608</v>
      </c>
      <c r="C65" s="1409" t="s">
        <v>246</v>
      </c>
      <c r="D65" s="1409" t="s">
        <v>1626</v>
      </c>
      <c r="E65" s="1409" t="s">
        <v>317</v>
      </c>
      <c r="F65" s="181" t="s">
        <v>557</v>
      </c>
      <c r="G65" s="182" t="s">
        <v>1169</v>
      </c>
      <c r="H65" s="181" t="s">
        <v>1162</v>
      </c>
      <c r="I65" s="183" t="s">
        <v>928</v>
      </c>
      <c r="J65" s="184" t="s">
        <v>48</v>
      </c>
      <c r="K65" s="184" t="s">
        <v>615</v>
      </c>
      <c r="L65" s="180" t="s">
        <v>33</v>
      </c>
      <c r="M65" s="180" t="s">
        <v>25</v>
      </c>
      <c r="N65" s="185">
        <v>652.70000000000005</v>
      </c>
      <c r="O65" s="419">
        <v>652.70000000000005</v>
      </c>
      <c r="P65" s="185">
        <v>593.9</v>
      </c>
      <c r="Q65" s="185"/>
      <c r="R65" s="185"/>
      <c r="S65" s="185"/>
      <c r="W65" s="33"/>
      <c r="X65" s="33"/>
      <c r="Y65" s="33"/>
    </row>
    <row r="66" spans="1:25" s="9" customFormat="1" ht="12" hidden="1">
      <c r="A66" s="162" t="s">
        <v>1170</v>
      </c>
      <c r="B66" s="35"/>
      <c r="C66" s="168"/>
      <c r="D66" s="168"/>
      <c r="E66" s="168"/>
      <c r="F66" s="1409"/>
      <c r="G66" s="38"/>
      <c r="H66" s="1409"/>
      <c r="I66" s="1409"/>
      <c r="J66" s="82"/>
      <c r="K66" s="82"/>
      <c r="L66" s="35"/>
      <c r="M66" s="35"/>
      <c r="N66" s="84"/>
      <c r="O66" s="84"/>
      <c r="P66" s="84"/>
      <c r="Q66" s="84"/>
      <c r="R66" s="84"/>
      <c r="S66" s="84"/>
      <c r="W66" s="33"/>
      <c r="X66" s="33"/>
      <c r="Y66" s="33"/>
    </row>
    <row r="67" spans="1:25" s="9" customFormat="1" ht="53.25" hidden="1" customHeight="1">
      <c r="A67" s="167" t="s">
        <v>667</v>
      </c>
      <c r="B67" s="173"/>
      <c r="C67" s="184"/>
      <c r="D67" s="184"/>
      <c r="E67" s="184"/>
      <c r="F67" s="1824" t="s">
        <v>315</v>
      </c>
      <c r="G67" s="1807" t="s">
        <v>419</v>
      </c>
      <c r="H67" s="1807" t="s">
        <v>316</v>
      </c>
      <c r="I67" s="184"/>
      <c r="J67" s="184"/>
      <c r="K67" s="184"/>
      <c r="L67" s="173"/>
      <c r="M67" s="173"/>
      <c r="N67" s="175"/>
      <c r="O67" s="419"/>
      <c r="P67" s="175"/>
      <c r="Q67" s="175"/>
      <c r="R67" s="175"/>
      <c r="S67" s="175"/>
      <c r="W67" s="33"/>
      <c r="X67" s="33"/>
      <c r="Y67" s="33"/>
    </row>
    <row r="68" spans="1:25" s="9" customFormat="1" ht="53.25" hidden="1" customHeight="1">
      <c r="A68" s="167"/>
      <c r="B68" s="186" t="s">
        <v>309</v>
      </c>
      <c r="C68" s="187"/>
      <c r="D68" s="187"/>
      <c r="E68" s="187"/>
      <c r="F68" s="1825"/>
      <c r="G68" s="1826"/>
      <c r="H68" s="1826"/>
      <c r="I68" s="187" t="s">
        <v>591</v>
      </c>
      <c r="J68" s="187" t="s">
        <v>48</v>
      </c>
      <c r="K68" s="187" t="s">
        <v>592</v>
      </c>
      <c r="L68" s="186" t="s">
        <v>33</v>
      </c>
      <c r="M68" s="186" t="s">
        <v>25</v>
      </c>
      <c r="N68" s="188">
        <v>0</v>
      </c>
      <c r="O68" s="1505"/>
      <c r="P68" s="188">
        <v>0</v>
      </c>
      <c r="Q68" s="188">
        <v>0</v>
      </c>
      <c r="R68" s="188">
        <v>0</v>
      </c>
      <c r="S68" s="188">
        <v>0</v>
      </c>
      <c r="W68" s="33"/>
      <c r="X68" s="33"/>
      <c r="Y68" s="33"/>
    </row>
    <row r="69" spans="1:25" s="9" customFormat="1" ht="162.75" customHeight="1">
      <c r="A69" s="189" t="s">
        <v>530</v>
      </c>
      <c r="B69" s="190" t="s">
        <v>265</v>
      </c>
      <c r="C69" s="1308" t="s">
        <v>247</v>
      </c>
      <c r="D69" s="1308" t="s">
        <v>1168</v>
      </c>
      <c r="E69" s="1457" t="s">
        <v>1160</v>
      </c>
      <c r="F69" s="1308"/>
      <c r="G69" s="1308"/>
      <c r="H69" s="1309"/>
      <c r="I69" s="191"/>
      <c r="J69" s="191"/>
      <c r="K69" s="192"/>
      <c r="L69" s="190"/>
      <c r="M69" s="190"/>
      <c r="N69" s="193">
        <f t="shared" ref="N69:S69" si="11">SUM(N70:N107)</f>
        <v>125310.52700000002</v>
      </c>
      <c r="O69" s="1506">
        <f t="shared" si="11"/>
        <v>119723.493</v>
      </c>
      <c r="P69" s="1574">
        <f t="shared" si="11"/>
        <v>155855.63800000001</v>
      </c>
      <c r="Q69" s="193">
        <f t="shared" si="11"/>
        <v>37854.300000000003</v>
      </c>
      <c r="R69" s="193">
        <f t="shared" si="11"/>
        <v>45772.3</v>
      </c>
      <c r="S69" s="193">
        <f t="shared" si="11"/>
        <v>41802.799999999996</v>
      </c>
      <c r="W69" s="33"/>
      <c r="X69" s="33"/>
      <c r="Y69" s="33"/>
    </row>
    <row r="70" spans="1:25" s="9" customFormat="1" ht="27" customHeight="1">
      <c r="A70" s="194" t="s">
        <v>668</v>
      </c>
      <c r="B70" s="1306"/>
      <c r="C70" s="1577" t="s">
        <v>1362</v>
      </c>
      <c r="D70" s="1410" t="s">
        <v>48</v>
      </c>
      <c r="E70" s="1410" t="s">
        <v>1363</v>
      </c>
      <c r="F70" s="1577" t="s">
        <v>245</v>
      </c>
      <c r="G70" s="1577" t="s">
        <v>233</v>
      </c>
      <c r="H70" s="1577" t="s">
        <v>166</v>
      </c>
      <c r="I70" s="1307"/>
      <c r="J70" s="196"/>
      <c r="K70" s="195"/>
      <c r="L70" s="197"/>
      <c r="M70" s="197"/>
      <c r="N70" s="198"/>
      <c r="O70" s="1507"/>
      <c r="P70" s="198"/>
      <c r="Q70" s="198"/>
      <c r="R70" s="198"/>
      <c r="S70" s="198"/>
      <c r="W70" s="33"/>
      <c r="X70" s="33"/>
      <c r="Y70" s="33"/>
    </row>
    <row r="71" spans="1:25" s="9" customFormat="1" ht="36.75" customHeight="1">
      <c r="A71" s="125" t="s">
        <v>724</v>
      </c>
      <c r="B71" s="502"/>
      <c r="C71" s="1578"/>
      <c r="D71" s="1310"/>
      <c r="E71" s="1310"/>
      <c r="F71" s="1578"/>
      <c r="G71" s="1578"/>
      <c r="H71" s="1578"/>
      <c r="I71" s="1800" t="s">
        <v>1568</v>
      </c>
      <c r="J71" s="5" t="s">
        <v>649</v>
      </c>
      <c r="K71" s="199" t="s">
        <v>555</v>
      </c>
      <c r="L71" s="7"/>
      <c r="M71" s="7"/>
      <c r="N71" s="127"/>
      <c r="O71" s="134"/>
      <c r="P71" s="127"/>
      <c r="Q71" s="127"/>
      <c r="R71" s="127"/>
      <c r="S71" s="127"/>
      <c r="W71" s="33"/>
      <c r="X71" s="33"/>
      <c r="Y71" s="33"/>
    </row>
    <row r="72" spans="1:25" s="9" customFormat="1" ht="36.75" customHeight="1">
      <c r="A72" s="128" t="s">
        <v>725</v>
      </c>
      <c r="B72" s="502"/>
      <c r="C72" s="1389"/>
      <c r="D72" s="1389"/>
      <c r="E72" s="1389"/>
      <c r="F72" s="1389"/>
      <c r="G72" s="1389"/>
      <c r="H72" s="1389"/>
      <c r="I72" s="1800"/>
      <c r="J72" s="5"/>
      <c r="K72" s="200"/>
      <c r="L72" s="7" t="s">
        <v>33</v>
      </c>
      <c r="M72" s="7" t="s">
        <v>28</v>
      </c>
      <c r="N72" s="127">
        <v>50</v>
      </c>
      <c r="O72" s="134">
        <v>47.933</v>
      </c>
      <c r="P72" s="127">
        <v>50</v>
      </c>
      <c r="Q72" s="127">
        <v>50</v>
      </c>
      <c r="R72" s="127">
        <v>50</v>
      </c>
      <c r="S72" s="127">
        <v>50</v>
      </c>
      <c r="W72" s="33"/>
      <c r="X72" s="33"/>
      <c r="Y72" s="33"/>
    </row>
    <row r="73" spans="1:25" s="9" customFormat="1" ht="60">
      <c r="A73" s="170" t="s">
        <v>1172</v>
      </c>
      <c r="B73" s="126"/>
      <c r="C73" s="1388"/>
      <c r="D73" s="1388"/>
      <c r="E73" s="1388"/>
      <c r="F73" s="1388"/>
      <c r="G73" s="1388"/>
      <c r="H73" s="1388"/>
      <c r="I73" s="201"/>
      <c r="J73" s="1388"/>
      <c r="K73" s="201"/>
      <c r="L73" s="1446" t="s">
        <v>33</v>
      </c>
      <c r="M73" s="1446" t="s">
        <v>28</v>
      </c>
      <c r="N73" s="134">
        <v>0</v>
      </c>
      <c r="O73" s="134">
        <v>0</v>
      </c>
      <c r="P73" s="134">
        <v>532.5</v>
      </c>
      <c r="Q73" s="134">
        <v>532.5</v>
      </c>
      <c r="R73" s="134">
        <v>0</v>
      </c>
      <c r="S73" s="134">
        <v>0</v>
      </c>
      <c r="W73" s="33"/>
      <c r="X73" s="33"/>
      <c r="Y73" s="33"/>
    </row>
    <row r="74" spans="1:25" s="9" customFormat="1" ht="73.5" customHeight="1">
      <c r="A74" s="170" t="s">
        <v>1173</v>
      </c>
      <c r="B74" s="126"/>
      <c r="C74" s="1388"/>
      <c r="D74" s="1388"/>
      <c r="E74" s="1388"/>
      <c r="F74" s="1388"/>
      <c r="G74" s="1388"/>
      <c r="H74" s="1388"/>
      <c r="I74" s="201"/>
      <c r="J74" s="1388"/>
      <c r="K74" s="201"/>
      <c r="L74" s="1446" t="s">
        <v>33</v>
      </c>
      <c r="M74" s="1446" t="s">
        <v>28</v>
      </c>
      <c r="N74" s="134">
        <v>0</v>
      </c>
      <c r="O74" s="134">
        <v>0</v>
      </c>
      <c r="P74" s="134">
        <v>500</v>
      </c>
      <c r="Q74" s="134"/>
      <c r="R74" s="134"/>
      <c r="S74" s="134"/>
      <c r="W74" s="33"/>
      <c r="X74" s="33"/>
      <c r="Y74" s="33"/>
    </row>
    <row r="75" spans="1:25" s="9" customFormat="1" ht="50.25" customHeight="1">
      <c r="A75" s="170" t="s">
        <v>1627</v>
      </c>
      <c r="B75" s="135"/>
      <c r="C75" s="139"/>
      <c r="D75" s="139"/>
      <c r="E75" s="139"/>
      <c r="F75" s="139"/>
      <c r="G75" s="139"/>
      <c r="H75" s="139"/>
      <c r="I75" s="202"/>
      <c r="J75" s="139"/>
      <c r="K75" s="202"/>
      <c r="L75" s="1446" t="s">
        <v>33</v>
      </c>
      <c r="M75" s="1446" t="s">
        <v>28</v>
      </c>
      <c r="N75" s="141">
        <v>0</v>
      </c>
      <c r="O75" s="141">
        <v>0</v>
      </c>
      <c r="P75" s="141">
        <v>133.04</v>
      </c>
      <c r="Q75" s="141">
        <v>150</v>
      </c>
      <c r="R75" s="141">
        <v>750</v>
      </c>
      <c r="S75" s="141">
        <v>1866</v>
      </c>
      <c r="W75" s="33"/>
      <c r="X75" s="33"/>
      <c r="Y75" s="33"/>
    </row>
    <row r="76" spans="1:25" s="9" customFormat="1" ht="50.25" customHeight="1">
      <c r="A76" s="125" t="s">
        <v>1639</v>
      </c>
      <c r="B76" s="1278"/>
      <c r="C76" s="1384"/>
      <c r="D76" s="1384"/>
      <c r="E76" s="1384"/>
      <c r="F76" s="1384"/>
      <c r="G76" s="1384"/>
      <c r="H76" s="1384"/>
      <c r="I76" s="1321"/>
      <c r="J76" s="1384"/>
      <c r="K76" s="1321"/>
      <c r="L76" s="1311"/>
      <c r="M76" s="1311"/>
      <c r="N76" s="1293"/>
      <c r="O76" s="1293"/>
      <c r="P76" s="1293"/>
      <c r="Q76" s="1293"/>
      <c r="R76" s="1293"/>
      <c r="S76" s="1293"/>
      <c r="W76" s="33"/>
      <c r="X76" s="33"/>
      <c r="Y76" s="33"/>
    </row>
    <row r="77" spans="1:25" s="9" customFormat="1" ht="39" customHeight="1">
      <c r="A77" s="170" t="s">
        <v>1640</v>
      </c>
      <c r="B77" s="126"/>
      <c r="C77" s="1388"/>
      <c r="D77" s="1388"/>
      <c r="E77" s="1388"/>
      <c r="F77" s="1388"/>
      <c r="G77" s="1388"/>
      <c r="H77" s="1388"/>
      <c r="I77" s="201"/>
      <c r="J77" s="1388"/>
      <c r="K77" s="201"/>
      <c r="L77" s="1446" t="s">
        <v>33</v>
      </c>
      <c r="M77" s="1446" t="s">
        <v>28</v>
      </c>
      <c r="N77" s="134">
        <v>0</v>
      </c>
      <c r="O77" s="134">
        <v>0</v>
      </c>
      <c r="P77" s="134">
        <v>0</v>
      </c>
      <c r="Q77" s="134">
        <v>0</v>
      </c>
      <c r="R77" s="134">
        <v>0</v>
      </c>
      <c r="S77" s="134">
        <v>450</v>
      </c>
      <c r="W77" s="33"/>
      <c r="X77" s="33"/>
      <c r="Y77" s="33"/>
    </row>
    <row r="78" spans="1:25" s="9" customFormat="1" ht="33.75" customHeight="1">
      <c r="A78" s="172" t="s">
        <v>726</v>
      </c>
      <c r="B78" s="128"/>
      <c r="C78" s="5"/>
      <c r="D78" s="5"/>
      <c r="E78" s="5"/>
      <c r="F78" s="5"/>
      <c r="G78" s="5"/>
      <c r="H78" s="5"/>
      <c r="I78" s="1579" t="s">
        <v>1570</v>
      </c>
      <c r="J78" s="5" t="s">
        <v>48</v>
      </c>
      <c r="K78" s="5" t="s">
        <v>555</v>
      </c>
      <c r="L78" s="7"/>
      <c r="M78" s="7"/>
      <c r="N78" s="127"/>
      <c r="O78" s="134"/>
      <c r="P78" s="127"/>
      <c r="Q78" s="127"/>
      <c r="R78" s="127"/>
      <c r="S78" s="127"/>
      <c r="W78" s="33"/>
      <c r="X78" s="33"/>
      <c r="Y78" s="33"/>
    </row>
    <row r="79" spans="1:25" s="9" customFormat="1" ht="33.75" customHeight="1">
      <c r="A79" s="389" t="s">
        <v>1628</v>
      </c>
      <c r="B79" s="1278"/>
      <c r="C79" s="1384"/>
      <c r="D79" s="1384"/>
      <c r="E79" s="1384"/>
      <c r="F79" s="1384"/>
      <c r="G79" s="1384"/>
      <c r="H79" s="1384"/>
      <c r="I79" s="1579"/>
      <c r="J79" s="1384"/>
      <c r="K79" s="1384"/>
      <c r="L79" s="1311"/>
      <c r="M79" s="1311"/>
      <c r="N79" s="1293"/>
      <c r="O79" s="1293"/>
      <c r="P79" s="1293"/>
      <c r="Q79" s="1293"/>
      <c r="R79" s="1293"/>
      <c r="S79" s="1293"/>
      <c r="W79" s="33"/>
      <c r="X79" s="33"/>
      <c r="Y79" s="33"/>
    </row>
    <row r="80" spans="1:25" s="9" customFormat="1" ht="38.25" customHeight="1">
      <c r="A80" s="389" t="s">
        <v>1629</v>
      </c>
      <c r="B80" s="1278"/>
      <c r="C80" s="1384"/>
      <c r="D80" s="1384"/>
      <c r="E80" s="1384"/>
      <c r="F80" s="1384"/>
      <c r="G80" s="1384"/>
      <c r="H80" s="1384"/>
      <c r="I80" s="1579"/>
      <c r="J80" s="1384"/>
      <c r="K80" s="1384"/>
      <c r="L80" s="1311"/>
      <c r="M80" s="1311"/>
      <c r="N80" s="1293"/>
      <c r="O80" s="1293"/>
      <c r="P80" s="1293"/>
      <c r="Q80" s="1293"/>
      <c r="R80" s="1293"/>
      <c r="S80" s="1293"/>
      <c r="W80" s="33"/>
      <c r="X80" s="33"/>
      <c r="Y80" s="33"/>
    </row>
    <row r="81" spans="1:25" s="9" customFormat="1" ht="63" customHeight="1">
      <c r="A81" s="203" t="s">
        <v>727</v>
      </c>
      <c r="B81" s="207"/>
      <c r="C81" s="5"/>
      <c r="D81" s="5"/>
      <c r="E81" s="5"/>
      <c r="F81" s="208"/>
      <c r="G81" s="6"/>
      <c r="H81" s="5"/>
      <c r="I81" s="209" t="s">
        <v>1572</v>
      </c>
      <c r="J81" s="5" t="s">
        <v>48</v>
      </c>
      <c r="K81" s="6" t="s">
        <v>279</v>
      </c>
      <c r="L81" s="7" t="s">
        <v>33</v>
      </c>
      <c r="M81" s="7" t="s">
        <v>28</v>
      </c>
      <c r="N81" s="127">
        <f>499.382+367</f>
        <v>866.38200000000006</v>
      </c>
      <c r="O81" s="134">
        <f>472.539+367</f>
        <v>839.53899999999999</v>
      </c>
      <c r="P81" s="127">
        <f>1404.6-2.8-24.2</f>
        <v>1377.6</v>
      </c>
      <c r="Q81" s="127">
        <v>1953.4</v>
      </c>
      <c r="R81" s="127">
        <v>1928.9</v>
      </c>
      <c r="S81" s="127">
        <v>1928.9</v>
      </c>
      <c r="W81" s="33"/>
      <c r="X81" s="33"/>
      <c r="Y81" s="33"/>
    </row>
    <row r="82" spans="1:25" s="9" customFormat="1" ht="75.75" customHeight="1">
      <c r="A82" s="203"/>
      <c r="B82" s="7"/>
      <c r="C82" s="5"/>
      <c r="D82" s="5"/>
      <c r="E82" s="5"/>
      <c r="F82" s="208"/>
      <c r="G82" s="6"/>
      <c r="H82" s="5"/>
      <c r="I82" s="209" t="s">
        <v>1574</v>
      </c>
      <c r="J82" s="5" t="s">
        <v>48</v>
      </c>
      <c r="K82" s="6" t="s">
        <v>284</v>
      </c>
      <c r="L82" s="7"/>
      <c r="M82" s="7"/>
      <c r="N82" s="127"/>
      <c r="O82" s="134"/>
      <c r="P82" s="127"/>
      <c r="Q82" s="127"/>
      <c r="R82" s="127"/>
      <c r="S82" s="127"/>
      <c r="W82" s="33"/>
      <c r="X82" s="33"/>
      <c r="Y82" s="33"/>
    </row>
    <row r="83" spans="1:25" s="9" customFormat="1" ht="50.25" customHeight="1">
      <c r="A83" s="203"/>
      <c r="B83" s="7"/>
      <c r="C83" s="5"/>
      <c r="D83" s="5"/>
      <c r="E83" s="5"/>
      <c r="F83" s="1719"/>
      <c r="G83" s="1721"/>
      <c r="H83" s="5"/>
      <c r="I83" s="5" t="s">
        <v>1531</v>
      </c>
      <c r="J83" s="5" t="s">
        <v>48</v>
      </c>
      <c r="K83" s="6" t="s">
        <v>339</v>
      </c>
      <c r="L83" s="7" t="s">
        <v>33</v>
      </c>
      <c r="M83" s="7" t="s">
        <v>28</v>
      </c>
      <c r="N83" s="127">
        <v>0</v>
      </c>
      <c r="O83" s="134">
        <v>0</v>
      </c>
      <c r="P83" s="127">
        <v>0</v>
      </c>
      <c r="Q83" s="127"/>
      <c r="R83" s="127"/>
      <c r="S83" s="127"/>
      <c r="W83" s="33"/>
      <c r="X83" s="33"/>
      <c r="Y83" s="33"/>
    </row>
    <row r="84" spans="1:25" s="9" customFormat="1" ht="111" customHeight="1">
      <c r="A84" s="1382"/>
      <c r="B84" s="1446"/>
      <c r="C84" s="1388"/>
      <c r="D84" s="1388"/>
      <c r="E84" s="1388"/>
      <c r="F84" s="1719"/>
      <c r="G84" s="1721"/>
      <c r="H84" s="1388"/>
      <c r="I84" s="210" t="s">
        <v>596</v>
      </c>
      <c r="J84" s="5" t="s">
        <v>48</v>
      </c>
      <c r="K84" s="5" t="s">
        <v>438</v>
      </c>
      <c r="L84" s="7" t="s">
        <v>16</v>
      </c>
      <c r="M84" s="7" t="s">
        <v>32</v>
      </c>
      <c r="N84" s="127">
        <v>20</v>
      </c>
      <c r="O84" s="134">
        <v>20</v>
      </c>
      <c r="P84" s="127">
        <v>180</v>
      </c>
      <c r="Q84" s="127">
        <v>224</v>
      </c>
      <c r="R84" s="127">
        <v>200</v>
      </c>
      <c r="S84" s="127">
        <v>200</v>
      </c>
      <c r="W84" s="33"/>
      <c r="X84" s="33"/>
      <c r="Y84" s="33"/>
    </row>
    <row r="85" spans="1:25" s="9" customFormat="1" ht="409.5">
      <c r="A85" s="1416"/>
      <c r="B85" s="211" t="s">
        <v>1530</v>
      </c>
      <c r="C85" s="1411"/>
      <c r="D85" s="1411"/>
      <c r="E85" s="1411"/>
      <c r="F85" s="1411" t="s">
        <v>1533</v>
      </c>
      <c r="G85" s="212" t="s">
        <v>48</v>
      </c>
      <c r="H85" s="1411" t="s">
        <v>1196</v>
      </c>
      <c r="I85" s="5" t="s">
        <v>1532</v>
      </c>
      <c r="J85" s="1411" t="s">
        <v>48</v>
      </c>
      <c r="K85" s="1411" t="s">
        <v>1196</v>
      </c>
      <c r="L85" s="211" t="s">
        <v>33</v>
      </c>
      <c r="M85" s="211" t="s">
        <v>28</v>
      </c>
      <c r="N85" s="213">
        <v>0</v>
      </c>
      <c r="O85" s="213">
        <v>0</v>
      </c>
      <c r="P85" s="213">
        <v>128.39400000000001</v>
      </c>
      <c r="Q85" s="213"/>
      <c r="R85" s="213"/>
      <c r="S85" s="213"/>
      <c r="W85" s="33"/>
      <c r="X85" s="33"/>
      <c r="Y85" s="33"/>
    </row>
    <row r="86" spans="1:25" s="9" customFormat="1" ht="150" customHeight="1">
      <c r="A86" s="128" t="s">
        <v>728</v>
      </c>
      <c r="B86" s="128"/>
      <c r="C86" s="5"/>
      <c r="D86" s="5"/>
      <c r="E86" s="5"/>
      <c r="F86" s="5" t="s">
        <v>245</v>
      </c>
      <c r="G86" s="5" t="s">
        <v>243</v>
      </c>
      <c r="H86" s="5" t="s">
        <v>166</v>
      </c>
      <c r="I86" s="5" t="s">
        <v>887</v>
      </c>
      <c r="J86" s="5" t="s">
        <v>48</v>
      </c>
      <c r="K86" s="5" t="s">
        <v>282</v>
      </c>
      <c r="L86" s="7" t="s">
        <v>33</v>
      </c>
      <c r="M86" s="7" t="s">
        <v>28</v>
      </c>
      <c r="N86" s="127">
        <f>27795.759+5630.749</f>
        <v>33426.508000000002</v>
      </c>
      <c r="O86" s="134">
        <f>27776.567+5504.729</f>
        <v>33281.296000000002</v>
      </c>
      <c r="P86" s="127">
        <v>36838.692000000003</v>
      </c>
      <c r="Q86" s="127">
        <v>28611.8</v>
      </c>
      <c r="R86" s="127">
        <f>29070.2+7440.6</f>
        <v>36510.800000000003</v>
      </c>
      <c r="S86" s="127">
        <f>30670.3+305</f>
        <v>30975.3</v>
      </c>
      <c r="W86" s="33"/>
      <c r="X86" s="33"/>
      <c r="Y86" s="33"/>
    </row>
    <row r="87" spans="1:25" s="9" customFormat="1" ht="87" customHeight="1">
      <c r="A87" s="128"/>
      <c r="B87" s="128"/>
      <c r="C87" s="5"/>
      <c r="D87" s="5"/>
      <c r="E87" s="5"/>
      <c r="F87" s="5"/>
      <c r="G87" s="5"/>
      <c r="H87" s="5"/>
      <c r="I87" s="5" t="s">
        <v>593</v>
      </c>
      <c r="J87" s="5" t="s">
        <v>48</v>
      </c>
      <c r="K87" s="5" t="s">
        <v>571</v>
      </c>
      <c r="L87" s="7"/>
      <c r="M87" s="7"/>
      <c r="N87" s="127"/>
      <c r="O87" s="134"/>
      <c r="P87" s="127"/>
      <c r="Q87" s="127"/>
      <c r="R87" s="127"/>
      <c r="S87" s="127"/>
      <c r="W87" s="33"/>
      <c r="X87" s="33"/>
      <c r="Y87" s="33"/>
    </row>
    <row r="88" spans="1:25" s="9" customFormat="1" ht="51" customHeight="1">
      <c r="A88" s="128"/>
      <c r="B88" s="128"/>
      <c r="C88" s="5"/>
      <c r="D88" s="5"/>
      <c r="E88" s="5"/>
      <c r="F88" s="214"/>
      <c r="G88" s="214"/>
      <c r="H88" s="214"/>
      <c r="I88" s="204" t="s">
        <v>234</v>
      </c>
      <c r="J88" s="204" t="s">
        <v>48</v>
      </c>
      <c r="K88" s="204" t="s">
        <v>239</v>
      </c>
      <c r="L88" s="7"/>
      <c r="M88" s="7"/>
      <c r="N88" s="127"/>
      <c r="O88" s="134"/>
      <c r="P88" s="127"/>
      <c r="Q88" s="127"/>
      <c r="R88" s="127"/>
      <c r="S88" s="127"/>
      <c r="W88" s="33"/>
      <c r="X88" s="33"/>
      <c r="Y88" s="33"/>
    </row>
    <row r="89" spans="1:25" s="9" customFormat="1" ht="53.25" customHeight="1">
      <c r="A89" s="128"/>
      <c r="B89" s="128"/>
      <c r="C89" s="5"/>
      <c r="D89" s="5"/>
      <c r="E89" s="5"/>
      <c r="F89" s="214"/>
      <c r="G89" s="214"/>
      <c r="H89" s="214"/>
      <c r="I89" s="204" t="s">
        <v>310</v>
      </c>
      <c r="J89" s="204" t="s">
        <v>48</v>
      </c>
      <c r="K89" s="204" t="s">
        <v>311</v>
      </c>
      <c r="L89" s="204"/>
      <c r="M89" s="204"/>
      <c r="N89" s="127"/>
      <c r="O89" s="134"/>
      <c r="P89" s="127"/>
      <c r="Q89" s="127"/>
      <c r="R89" s="127"/>
      <c r="S89" s="127"/>
      <c r="W89" s="33"/>
      <c r="X89" s="33"/>
      <c r="Y89" s="33"/>
    </row>
    <row r="90" spans="1:25" s="9" customFormat="1" ht="149.25" customHeight="1">
      <c r="A90" s="205"/>
      <c r="B90" s="206" t="s">
        <v>855</v>
      </c>
      <c r="C90" s="5"/>
      <c r="D90" s="5"/>
      <c r="E90" s="5"/>
      <c r="F90" s="1312" t="s">
        <v>1474</v>
      </c>
      <c r="G90" s="3" t="s">
        <v>48</v>
      </c>
      <c r="H90" s="4" t="s">
        <v>454</v>
      </c>
      <c r="I90" s="5" t="s">
        <v>932</v>
      </c>
      <c r="J90" s="5" t="s">
        <v>48</v>
      </c>
      <c r="K90" s="6" t="s">
        <v>577</v>
      </c>
      <c r="L90" s="7" t="s">
        <v>33</v>
      </c>
      <c r="M90" s="7" t="s">
        <v>28</v>
      </c>
      <c r="N90" s="8">
        <v>752.20100000000002</v>
      </c>
      <c r="O90" s="134">
        <v>750.73400000000004</v>
      </c>
      <c r="P90" s="8">
        <v>692.99</v>
      </c>
      <c r="Q90" s="8"/>
      <c r="R90" s="8"/>
      <c r="S90" s="8"/>
      <c r="W90" s="33"/>
      <c r="X90" s="33"/>
      <c r="Y90" s="33"/>
    </row>
    <row r="91" spans="1:25" s="9" customFormat="1" ht="128.25" customHeight="1">
      <c r="A91" s="1403"/>
      <c r="B91" s="1311"/>
      <c r="C91" s="1384"/>
      <c r="D91" s="1384"/>
      <c r="E91" s="1384"/>
      <c r="F91" s="5" t="s">
        <v>411</v>
      </c>
      <c r="G91" s="5" t="s">
        <v>50</v>
      </c>
      <c r="H91" s="5" t="s">
        <v>412</v>
      </c>
      <c r="I91" s="5" t="s">
        <v>929</v>
      </c>
      <c r="J91" s="5" t="s">
        <v>48</v>
      </c>
      <c r="K91" s="6" t="s">
        <v>585</v>
      </c>
      <c r="L91" s="7" t="s">
        <v>33</v>
      </c>
      <c r="M91" s="7" t="s">
        <v>28</v>
      </c>
      <c r="N91" s="127">
        <v>832.7</v>
      </c>
      <c r="O91" s="134">
        <v>832.7</v>
      </c>
      <c r="P91" s="127">
        <v>0</v>
      </c>
      <c r="Q91" s="1293"/>
      <c r="R91" s="1293"/>
      <c r="S91" s="1293"/>
      <c r="W91" s="33"/>
      <c r="X91" s="33"/>
      <c r="Y91" s="33"/>
    </row>
    <row r="92" spans="1:25" s="9" customFormat="1" ht="86.25" customHeight="1">
      <c r="A92" s="1403"/>
      <c r="B92" s="1311" t="s">
        <v>637</v>
      </c>
      <c r="C92" s="1384"/>
      <c r="D92" s="1384"/>
      <c r="E92" s="1384"/>
      <c r="F92" s="1384" t="s">
        <v>557</v>
      </c>
      <c r="G92" s="1384" t="s">
        <v>1465</v>
      </c>
      <c r="H92" s="1384" t="s">
        <v>1466</v>
      </c>
      <c r="I92" s="204" t="s">
        <v>970</v>
      </c>
      <c r="J92" s="204" t="s">
        <v>48</v>
      </c>
      <c r="K92" s="204" t="s">
        <v>971</v>
      </c>
      <c r="L92" s="7" t="s">
        <v>33</v>
      </c>
      <c r="M92" s="7" t="s">
        <v>28</v>
      </c>
      <c r="N92" s="127">
        <f>2957.304+2352.7</f>
        <v>5310.0039999999999</v>
      </c>
      <c r="O92" s="134">
        <v>0</v>
      </c>
      <c r="P92" s="127">
        <v>3505.4119999999998</v>
      </c>
      <c r="Q92" s="1293"/>
      <c r="R92" s="1293"/>
      <c r="S92" s="1293"/>
      <c r="W92" s="33"/>
      <c r="X92" s="33"/>
      <c r="Y92" s="33"/>
    </row>
    <row r="93" spans="1:25" s="9" customFormat="1" ht="221.25" customHeight="1">
      <c r="A93" s="215"/>
      <c r="B93" s="7" t="s">
        <v>636</v>
      </c>
      <c r="C93" s="5"/>
      <c r="D93" s="5"/>
      <c r="E93" s="5"/>
      <c r="F93" s="209" t="s">
        <v>1475</v>
      </c>
      <c r="G93" s="6" t="s">
        <v>48</v>
      </c>
      <c r="H93" s="5" t="s">
        <v>1476</v>
      </c>
      <c r="I93" s="216" t="s">
        <v>927</v>
      </c>
      <c r="J93" s="216" t="s">
        <v>48</v>
      </c>
      <c r="K93" s="217" t="s">
        <v>699</v>
      </c>
      <c r="L93" s="7" t="s">
        <v>33</v>
      </c>
      <c r="M93" s="7" t="s">
        <v>28</v>
      </c>
      <c r="N93" s="127">
        <v>31893.3</v>
      </c>
      <c r="O93" s="134">
        <v>31893.3</v>
      </c>
      <c r="P93" s="127">
        <v>49342.1</v>
      </c>
      <c r="Q93" s="127"/>
      <c r="R93" s="127"/>
      <c r="S93" s="127"/>
      <c r="W93" s="33"/>
      <c r="X93" s="33"/>
      <c r="Y93" s="33"/>
    </row>
    <row r="94" spans="1:25" s="9" customFormat="1" ht="14.25" customHeight="1">
      <c r="A94" s="1580" t="s">
        <v>1630</v>
      </c>
      <c r="B94" s="7"/>
      <c r="C94" s="5"/>
      <c r="D94" s="5"/>
      <c r="E94" s="5"/>
      <c r="F94" s="5"/>
      <c r="G94" s="5"/>
      <c r="H94" s="5"/>
      <c r="I94" s="209"/>
      <c r="J94" s="5"/>
      <c r="K94" s="6"/>
      <c r="L94" s="7"/>
      <c r="M94" s="7"/>
      <c r="N94" s="127"/>
      <c r="O94" s="134"/>
      <c r="P94" s="127"/>
      <c r="Q94" s="127"/>
      <c r="R94" s="127"/>
      <c r="S94" s="127"/>
      <c r="W94" s="33"/>
      <c r="X94" s="33"/>
      <c r="Y94" s="33"/>
    </row>
    <row r="95" spans="1:25" s="9" customFormat="1" ht="48.75" customHeight="1">
      <c r="A95" s="1580"/>
      <c r="B95" s="7"/>
      <c r="C95" s="5"/>
      <c r="D95" s="5"/>
      <c r="E95" s="5"/>
      <c r="F95" s="1719" t="s">
        <v>1477</v>
      </c>
      <c r="H95" s="1719" t="s">
        <v>225</v>
      </c>
      <c r="I95" s="1719" t="s">
        <v>969</v>
      </c>
      <c r="J95" s="1719" t="s">
        <v>48</v>
      </c>
      <c r="K95" s="1721" t="s">
        <v>611</v>
      </c>
      <c r="L95" s="7" t="s">
        <v>33</v>
      </c>
      <c r="M95" s="7" t="s">
        <v>28</v>
      </c>
      <c r="N95" s="127">
        <v>4410.558</v>
      </c>
      <c r="O95" s="134">
        <v>4410.2160000000003</v>
      </c>
      <c r="P95" s="127">
        <v>6619.01</v>
      </c>
      <c r="Q95" s="127">
        <v>6332.6</v>
      </c>
      <c r="R95" s="127">
        <v>6332.6</v>
      </c>
      <c r="S95" s="127">
        <v>6332.6</v>
      </c>
      <c r="W95" s="33"/>
      <c r="X95" s="33"/>
      <c r="Y95" s="33"/>
    </row>
    <row r="96" spans="1:25" s="9" customFormat="1" ht="39" customHeight="1">
      <c r="A96" s="1580"/>
      <c r="B96" s="7" t="s">
        <v>854</v>
      </c>
      <c r="C96" s="5"/>
      <c r="D96" s="5"/>
      <c r="E96" s="5"/>
      <c r="F96" s="1719"/>
      <c r="H96" s="1719"/>
      <c r="I96" s="1719"/>
      <c r="J96" s="1719"/>
      <c r="K96" s="1721"/>
      <c r="L96" s="7" t="s">
        <v>33</v>
      </c>
      <c r="M96" s="7" t="s">
        <v>28</v>
      </c>
      <c r="N96" s="8">
        <v>2921.576</v>
      </c>
      <c r="O96" s="134">
        <v>2885.0520000000001</v>
      </c>
      <c r="P96" s="8">
        <v>1732.6</v>
      </c>
      <c r="Q96" s="8"/>
      <c r="R96" s="8"/>
      <c r="S96" s="8"/>
      <c r="W96" s="33"/>
      <c r="X96" s="33"/>
      <c r="Y96" s="33"/>
    </row>
    <row r="97" spans="1:25" s="9" customFormat="1" ht="197.25" customHeight="1">
      <c r="A97" s="203"/>
      <c r="B97" s="7" t="s">
        <v>608</v>
      </c>
      <c r="C97" s="5"/>
      <c r="D97" s="5"/>
      <c r="E97" s="5"/>
      <c r="F97" s="5" t="s">
        <v>557</v>
      </c>
      <c r="G97" s="6" t="s">
        <v>1478</v>
      </c>
      <c r="H97" s="5" t="s">
        <v>1372</v>
      </c>
      <c r="I97" s="204" t="s">
        <v>928</v>
      </c>
      <c r="J97" s="204" t="s">
        <v>48</v>
      </c>
      <c r="K97" s="204" t="s">
        <v>615</v>
      </c>
      <c r="L97" s="7" t="s">
        <v>33</v>
      </c>
      <c r="M97" s="7" t="s">
        <v>28</v>
      </c>
      <c r="N97" s="8">
        <v>8015.7780000000002</v>
      </c>
      <c r="O97" s="134">
        <v>8015.7570000000014</v>
      </c>
      <c r="P97" s="8">
        <v>9929.7999999999993</v>
      </c>
      <c r="Q97" s="8"/>
      <c r="R97" s="8"/>
      <c r="S97" s="8"/>
      <c r="W97" s="33"/>
      <c r="X97" s="33"/>
      <c r="Y97" s="33"/>
    </row>
    <row r="98" spans="1:25" s="9" customFormat="1" ht="287.25" customHeight="1">
      <c r="A98" s="1382"/>
      <c r="B98" s="7" t="s">
        <v>960</v>
      </c>
      <c r="C98" s="1388"/>
      <c r="D98" s="1388"/>
      <c r="E98" s="1388"/>
      <c r="F98" s="1388" t="s">
        <v>977</v>
      </c>
      <c r="G98" s="1419" t="s">
        <v>48</v>
      </c>
      <c r="H98" s="1388" t="s">
        <v>978</v>
      </c>
      <c r="I98" s="1387" t="s">
        <v>975</v>
      </c>
      <c r="J98" s="1387" t="s">
        <v>48</v>
      </c>
      <c r="K98" s="1387" t="s">
        <v>976</v>
      </c>
      <c r="L98" s="7" t="s">
        <v>33</v>
      </c>
      <c r="M98" s="7" t="s">
        <v>28</v>
      </c>
      <c r="N98" s="134">
        <v>209</v>
      </c>
      <c r="O98" s="134">
        <v>148.6</v>
      </c>
      <c r="P98" s="134">
        <v>489.6</v>
      </c>
      <c r="Q98" s="134"/>
      <c r="R98" s="134"/>
      <c r="S98" s="134"/>
      <c r="W98" s="33"/>
      <c r="X98" s="33"/>
      <c r="Y98" s="33"/>
    </row>
    <row r="99" spans="1:25" s="9" customFormat="1" ht="24">
      <c r="A99" s="389" t="s">
        <v>1631</v>
      </c>
      <c r="B99" s="1311" t="s">
        <v>1632</v>
      </c>
      <c r="C99" s="1384"/>
      <c r="D99" s="1384"/>
      <c r="E99" s="1384"/>
      <c r="F99" s="1384"/>
      <c r="G99" s="1384"/>
      <c r="H99" s="1384"/>
      <c r="I99" s="1394"/>
      <c r="J99" s="1384"/>
      <c r="K99" s="1384"/>
      <c r="L99" s="1311" t="s">
        <v>33</v>
      </c>
      <c r="M99" s="1311" t="s">
        <v>28</v>
      </c>
      <c r="N99" s="1293">
        <v>0</v>
      </c>
      <c r="O99" s="1293">
        <v>0</v>
      </c>
      <c r="P99" s="1293">
        <v>1118.7</v>
      </c>
      <c r="Q99" s="1293"/>
      <c r="R99" s="1293"/>
      <c r="S99" s="1293"/>
      <c r="W99" s="33"/>
      <c r="X99" s="33"/>
      <c r="Y99" s="33"/>
    </row>
    <row r="100" spans="1:25" s="9" customFormat="1" ht="85.5" customHeight="1">
      <c r="A100" s="219" t="s">
        <v>1633</v>
      </c>
      <c r="B100" s="206" t="s">
        <v>601</v>
      </c>
      <c r="C100" s="139"/>
      <c r="D100" s="139"/>
      <c r="E100" s="139"/>
      <c r="F100" s="1719" t="s">
        <v>557</v>
      </c>
      <c r="G100" s="6" t="s">
        <v>1482</v>
      </c>
      <c r="H100" s="5" t="s">
        <v>1445</v>
      </c>
      <c r="I100" s="1759" t="s">
        <v>930</v>
      </c>
      <c r="J100" s="1759" t="s">
        <v>48</v>
      </c>
      <c r="K100" s="1759" t="s">
        <v>603</v>
      </c>
      <c r="L100" s="140"/>
      <c r="M100" s="140"/>
      <c r="N100" s="8">
        <v>1904.5050000000001</v>
      </c>
      <c r="O100" s="134">
        <v>1904.5050000000001</v>
      </c>
      <c r="P100" s="141">
        <v>1938.05</v>
      </c>
      <c r="Q100" s="141"/>
      <c r="R100" s="141"/>
      <c r="S100" s="141"/>
      <c r="W100" s="33"/>
      <c r="X100" s="33"/>
      <c r="Y100" s="33"/>
    </row>
    <row r="101" spans="1:25" s="9" customFormat="1" ht="90" customHeight="1">
      <c r="A101" s="219"/>
      <c r="B101" s="206" t="s">
        <v>602</v>
      </c>
      <c r="C101" s="139"/>
      <c r="D101" s="139"/>
      <c r="E101" s="139"/>
      <c r="F101" s="1719"/>
      <c r="G101" s="6"/>
      <c r="H101" s="5"/>
      <c r="I101" s="1759"/>
      <c r="J101" s="1759"/>
      <c r="K101" s="1759"/>
      <c r="L101" s="140"/>
      <c r="M101" s="140"/>
      <c r="N101" s="8">
        <v>58.901000000000003</v>
      </c>
      <c r="O101" s="134">
        <v>58.901000000000003</v>
      </c>
      <c r="P101" s="8">
        <v>39.549999999999997</v>
      </c>
      <c r="Q101" s="8"/>
      <c r="R101" s="8"/>
      <c r="S101" s="8"/>
      <c r="W101" s="33"/>
      <c r="X101" s="33"/>
      <c r="Y101" s="33"/>
    </row>
    <row r="102" spans="1:25" s="9" customFormat="1" ht="223.5" customHeight="1">
      <c r="A102" s="126"/>
      <c r="B102" s="7" t="s">
        <v>959</v>
      </c>
      <c r="C102" s="1388"/>
      <c r="D102" s="1388"/>
      <c r="E102" s="1388"/>
      <c r="F102" s="1417" t="s">
        <v>1471</v>
      </c>
      <c r="G102" s="1461" t="s">
        <v>48</v>
      </c>
      <c r="H102" s="1417" t="s">
        <v>1472</v>
      </c>
      <c r="I102" s="1387" t="s">
        <v>1157</v>
      </c>
      <c r="J102" s="1387" t="s">
        <v>48</v>
      </c>
      <c r="K102" s="1387" t="s">
        <v>1473</v>
      </c>
      <c r="L102" s="7" t="s">
        <v>33</v>
      </c>
      <c r="M102" s="7" t="s">
        <v>28</v>
      </c>
      <c r="N102" s="134">
        <v>204.91399999999999</v>
      </c>
      <c r="O102" s="134">
        <v>200.76</v>
      </c>
      <c r="P102" s="134">
        <v>606</v>
      </c>
      <c r="Q102" s="134"/>
      <c r="R102" s="134"/>
      <c r="S102" s="134"/>
      <c r="W102" s="33"/>
      <c r="X102" s="33"/>
      <c r="Y102" s="33"/>
    </row>
    <row r="103" spans="1:25" s="9" customFormat="1" ht="200.25" customHeight="1">
      <c r="A103" s="222"/>
      <c r="B103" s="223" t="s">
        <v>483</v>
      </c>
      <c r="C103" s="224"/>
      <c r="D103" s="224"/>
      <c r="E103" s="224"/>
      <c r="F103" s="224" t="s">
        <v>1469</v>
      </c>
      <c r="G103" s="3" t="s">
        <v>48</v>
      </c>
      <c r="H103" s="4" t="s">
        <v>1470</v>
      </c>
      <c r="I103" s="5" t="s">
        <v>1467</v>
      </c>
      <c r="J103" s="5" t="s">
        <v>48</v>
      </c>
      <c r="K103" s="6" t="s">
        <v>1468</v>
      </c>
      <c r="L103" s="7" t="s">
        <v>33</v>
      </c>
      <c r="M103" s="7" t="s">
        <v>28</v>
      </c>
      <c r="N103" s="8">
        <v>34351.995000000003</v>
      </c>
      <c r="O103" s="134">
        <v>34351.995000000003</v>
      </c>
      <c r="P103" s="8">
        <v>40101.599999999999</v>
      </c>
      <c r="Q103" s="8"/>
      <c r="R103" s="8"/>
      <c r="S103" s="8"/>
      <c r="W103" s="33"/>
      <c r="X103" s="33"/>
      <c r="Y103" s="33"/>
    </row>
    <row r="104" spans="1:25" s="9" customFormat="1" ht="12.75" customHeight="1">
      <c r="A104" s="225" t="s">
        <v>729</v>
      </c>
      <c r="B104" s="207"/>
      <c r="C104" s="5"/>
      <c r="D104" s="5"/>
      <c r="E104" s="5"/>
      <c r="F104" s="5"/>
      <c r="G104" s="5"/>
      <c r="H104" s="5"/>
      <c r="I104" s="5"/>
      <c r="J104" s="5"/>
      <c r="K104" s="5"/>
      <c r="L104" s="7"/>
      <c r="M104" s="7"/>
      <c r="N104" s="127"/>
      <c r="O104" s="134"/>
      <c r="P104" s="127"/>
      <c r="Q104" s="127"/>
      <c r="R104" s="127"/>
      <c r="S104" s="127"/>
      <c r="W104" s="33"/>
      <c r="X104" s="33"/>
      <c r="Y104" s="33"/>
    </row>
    <row r="105" spans="1:25" s="9" customFormat="1" ht="23.25" customHeight="1">
      <c r="A105" s="128" t="s">
        <v>894</v>
      </c>
      <c r="B105" s="7"/>
      <c r="C105" s="204"/>
      <c r="D105" s="204"/>
      <c r="E105" s="204"/>
      <c r="F105" s="5"/>
      <c r="G105" s="204"/>
      <c r="H105" s="204"/>
      <c r="I105" s="204"/>
      <c r="J105" s="204"/>
      <c r="K105" s="204"/>
      <c r="L105" s="7"/>
      <c r="M105" s="7"/>
      <c r="N105" s="127"/>
      <c r="O105" s="134"/>
      <c r="P105" s="127"/>
      <c r="Q105" s="127"/>
      <c r="R105" s="127"/>
      <c r="S105" s="127"/>
      <c r="W105" s="33"/>
      <c r="X105" s="33"/>
      <c r="Y105" s="33"/>
    </row>
    <row r="106" spans="1:25" s="9" customFormat="1" ht="122.25" customHeight="1">
      <c r="A106" s="226"/>
      <c r="B106" s="206" t="s">
        <v>293</v>
      </c>
      <c r="C106" s="221"/>
      <c r="D106" s="221"/>
      <c r="E106" s="221"/>
      <c r="F106" s="1752" t="s">
        <v>315</v>
      </c>
      <c r="G106" s="221" t="s">
        <v>419</v>
      </c>
      <c r="H106" s="221" t="s">
        <v>316</v>
      </c>
      <c r="I106" s="221" t="s">
        <v>936</v>
      </c>
      <c r="J106" s="221" t="s">
        <v>48</v>
      </c>
      <c r="K106" s="221" t="s">
        <v>935</v>
      </c>
      <c r="L106" s="7" t="s">
        <v>33</v>
      </c>
      <c r="M106" s="7" t="s">
        <v>28</v>
      </c>
      <c r="N106" s="8">
        <v>82.204999999999998</v>
      </c>
      <c r="O106" s="134">
        <v>82.204999999999998</v>
      </c>
      <c r="P106" s="8">
        <v>0</v>
      </c>
      <c r="Q106" s="8"/>
      <c r="R106" s="8"/>
      <c r="S106" s="8"/>
      <c r="W106" s="33"/>
      <c r="X106" s="33"/>
      <c r="Y106" s="33"/>
    </row>
    <row r="107" spans="1:25" s="9" customFormat="1" ht="53.25" hidden="1" customHeight="1">
      <c r="A107" s="227"/>
      <c r="B107" s="211"/>
      <c r="C107" s="1474"/>
      <c r="D107" s="1474"/>
      <c r="E107" s="1474"/>
      <c r="F107" s="1847"/>
      <c r="G107" s="1474"/>
      <c r="H107" s="1474"/>
      <c r="I107" s="1474"/>
      <c r="J107" s="1474"/>
      <c r="K107" s="1474"/>
      <c r="L107" s="211"/>
      <c r="M107" s="211"/>
      <c r="N107" s="213"/>
      <c r="O107" s="213"/>
      <c r="P107" s="213"/>
      <c r="Q107" s="213"/>
      <c r="R107" s="213"/>
      <c r="S107" s="213"/>
      <c r="W107" s="33"/>
      <c r="X107" s="33"/>
      <c r="Y107" s="33"/>
    </row>
    <row r="108" spans="1:25" s="9" customFormat="1" ht="162" customHeight="1">
      <c r="A108" s="228" t="s">
        <v>1175</v>
      </c>
      <c r="B108" s="229" t="s">
        <v>335</v>
      </c>
      <c r="C108" s="230" t="s">
        <v>247</v>
      </c>
      <c r="D108" s="230" t="s">
        <v>1168</v>
      </c>
      <c r="E108" s="50" t="s">
        <v>1160</v>
      </c>
      <c r="F108" s="230"/>
      <c r="G108" s="230"/>
      <c r="H108" s="231"/>
      <c r="I108" s="230"/>
      <c r="J108" s="230"/>
      <c r="K108" s="231"/>
      <c r="L108" s="229" t="s">
        <v>33</v>
      </c>
      <c r="M108" s="229" t="s">
        <v>28</v>
      </c>
      <c r="N108" s="109">
        <f t="shared" ref="N108:S108" si="12">SUM(N109:N158)</f>
        <v>298953.60699999996</v>
      </c>
      <c r="O108" s="109">
        <f t="shared" si="12"/>
        <v>227332.81100000002</v>
      </c>
      <c r="P108" s="1572">
        <f t="shared" si="12"/>
        <v>457837.5500000001</v>
      </c>
      <c r="Q108" s="109">
        <f t="shared" si="12"/>
        <v>53215</v>
      </c>
      <c r="R108" s="109">
        <f t="shared" si="12"/>
        <v>62003.4</v>
      </c>
      <c r="S108" s="109">
        <f t="shared" si="12"/>
        <v>59044.5</v>
      </c>
      <c r="W108" s="33"/>
      <c r="X108" s="33"/>
      <c r="Y108" s="33"/>
    </row>
    <row r="109" spans="1:25" s="9" customFormat="1" ht="24.75" customHeight="1">
      <c r="A109" s="232" t="s">
        <v>671</v>
      </c>
      <c r="B109" s="233"/>
      <c r="C109" s="1493" t="s">
        <v>1362</v>
      </c>
      <c r="D109" s="1493" t="s">
        <v>48</v>
      </c>
      <c r="E109" s="1410" t="s">
        <v>1363</v>
      </c>
      <c r="F109" s="1493" t="s">
        <v>245</v>
      </c>
      <c r="G109" s="1301" t="s">
        <v>233</v>
      </c>
      <c r="H109" s="1301" t="s">
        <v>166</v>
      </c>
      <c r="I109" s="235"/>
      <c r="J109" s="1301"/>
      <c r="K109" s="236"/>
      <c r="L109" s="211"/>
      <c r="M109" s="211"/>
      <c r="N109" s="213"/>
      <c r="O109" s="213"/>
      <c r="P109" s="213"/>
      <c r="Q109" s="213"/>
      <c r="R109" s="213"/>
      <c r="S109" s="213"/>
      <c r="W109" s="33"/>
      <c r="X109" s="33"/>
      <c r="Y109" s="33"/>
    </row>
    <row r="110" spans="1:25" s="9" customFormat="1" ht="38.25" customHeight="1">
      <c r="A110" s="125" t="s">
        <v>1634</v>
      </c>
      <c r="B110" s="281"/>
      <c r="C110" s="1389"/>
      <c r="D110" s="1389"/>
      <c r="E110" s="280"/>
      <c r="F110" s="1389"/>
      <c r="G110" s="266"/>
      <c r="H110" s="280"/>
      <c r="I110" s="1802" t="s">
        <v>1565</v>
      </c>
      <c r="J110" s="1322" t="s">
        <v>649</v>
      </c>
      <c r="K110" s="282" t="s">
        <v>555</v>
      </c>
      <c r="L110" s="140"/>
      <c r="M110" s="140"/>
      <c r="N110" s="141"/>
      <c r="O110" s="141"/>
      <c r="P110" s="141"/>
      <c r="Q110" s="141"/>
      <c r="R110" s="141"/>
      <c r="S110" s="141"/>
      <c r="T110" s="240"/>
      <c r="W110" s="33"/>
      <c r="X110" s="33"/>
      <c r="Y110" s="33"/>
    </row>
    <row r="111" spans="1:25" s="9" customFormat="1" ht="35.25" customHeight="1">
      <c r="A111" s="128" t="s">
        <v>1641</v>
      </c>
      <c r="B111" s="283"/>
      <c r="C111" s="1401"/>
      <c r="D111" s="1401"/>
      <c r="E111" s="1401"/>
      <c r="F111" s="1401"/>
      <c r="G111" s="1418"/>
      <c r="H111" s="1401"/>
      <c r="I111" s="1802"/>
      <c r="J111" s="1322"/>
      <c r="K111" s="284"/>
      <c r="L111" s="1311" t="s">
        <v>33</v>
      </c>
      <c r="M111" s="1311" t="s">
        <v>28</v>
      </c>
      <c r="N111" s="1293"/>
      <c r="O111" s="1293"/>
      <c r="P111" s="1293"/>
      <c r="Q111" s="1293">
        <v>50</v>
      </c>
      <c r="R111" s="1293">
        <v>50</v>
      </c>
      <c r="S111" s="1293">
        <v>50</v>
      </c>
      <c r="T111" s="240"/>
      <c r="W111" s="33"/>
      <c r="X111" s="33"/>
      <c r="Y111" s="33"/>
    </row>
    <row r="112" spans="1:25" s="9" customFormat="1" ht="51" customHeight="1">
      <c r="A112" s="128" t="s">
        <v>1655</v>
      </c>
      <c r="B112" s="283"/>
      <c r="C112" s="1401"/>
      <c r="D112" s="1401"/>
      <c r="E112" s="1401"/>
      <c r="F112" s="1401"/>
      <c r="G112" s="1418"/>
      <c r="H112" s="1401"/>
      <c r="I112" s="1802"/>
      <c r="J112" s="1445"/>
      <c r="K112" s="284"/>
      <c r="L112" s="211" t="s">
        <v>33</v>
      </c>
      <c r="M112" s="211" t="s">
        <v>28</v>
      </c>
      <c r="N112" s="213"/>
      <c r="O112" s="213"/>
      <c r="P112" s="213">
        <v>335.94</v>
      </c>
      <c r="Q112" s="213">
        <v>150</v>
      </c>
      <c r="R112" s="213">
        <v>750</v>
      </c>
      <c r="S112" s="213">
        <v>1866</v>
      </c>
      <c r="T112" s="240"/>
      <c r="W112" s="33"/>
      <c r="X112" s="33"/>
      <c r="Y112" s="33"/>
    </row>
    <row r="113" spans="1:25" s="9" customFormat="1" ht="51" customHeight="1">
      <c r="A113" s="125" t="s">
        <v>1656</v>
      </c>
      <c r="B113" s="283"/>
      <c r="C113" s="1401"/>
      <c r="D113" s="1401"/>
      <c r="E113" s="1401"/>
      <c r="F113" s="1401"/>
      <c r="G113" s="1418"/>
      <c r="H113" s="1401"/>
      <c r="I113" s="1394"/>
      <c r="J113" s="1445" t="s">
        <v>641</v>
      </c>
      <c r="K113" s="284"/>
      <c r="L113" s="1311"/>
      <c r="M113" s="1311"/>
      <c r="N113" s="1293"/>
      <c r="O113" s="1293"/>
      <c r="P113" s="1293"/>
      <c r="Q113" s="1293"/>
      <c r="R113" s="1293"/>
      <c r="S113" s="1293"/>
      <c r="T113" s="240"/>
      <c r="W113" s="33"/>
      <c r="X113" s="33"/>
      <c r="Y113" s="33"/>
    </row>
    <row r="114" spans="1:25" s="9" customFormat="1" ht="36.75" customHeight="1">
      <c r="A114" s="128" t="s">
        <v>1657</v>
      </c>
      <c r="B114" s="281"/>
      <c r="C114" s="280"/>
      <c r="D114" s="280"/>
      <c r="E114" s="280"/>
      <c r="F114" s="280"/>
      <c r="G114" s="266"/>
      <c r="H114" s="280"/>
      <c r="I114" s="1388"/>
      <c r="J114" s="1322"/>
      <c r="K114" s="282"/>
      <c r="L114" s="140" t="s">
        <v>33</v>
      </c>
      <c r="M114" s="140" t="s">
        <v>28</v>
      </c>
      <c r="N114" s="141"/>
      <c r="O114" s="141"/>
      <c r="P114" s="141">
        <v>220</v>
      </c>
      <c r="Q114" s="141">
        <v>0</v>
      </c>
      <c r="R114" s="141">
        <v>0</v>
      </c>
      <c r="S114" s="141">
        <v>450</v>
      </c>
      <c r="T114" s="240"/>
      <c r="W114" s="33"/>
      <c r="X114" s="33"/>
      <c r="Y114" s="33"/>
    </row>
    <row r="115" spans="1:25" s="9" customFormat="1" ht="99.75" customHeight="1">
      <c r="A115" s="1324" t="s">
        <v>1658</v>
      </c>
      <c r="B115" s="233"/>
      <c r="C115" s="1401"/>
      <c r="D115" s="1401"/>
      <c r="E115" s="1401"/>
      <c r="F115" s="1318"/>
      <c r="G115" s="1402"/>
      <c r="H115" s="1402"/>
      <c r="I115" s="1490" t="s">
        <v>1570</v>
      </c>
      <c r="J115" s="5" t="s">
        <v>48</v>
      </c>
      <c r="K115" s="239" t="s">
        <v>555</v>
      </c>
      <c r="L115" s="7"/>
      <c r="M115" s="7"/>
      <c r="N115" s="127"/>
      <c r="O115" s="134"/>
      <c r="P115" s="127"/>
      <c r="Q115" s="127"/>
      <c r="R115" s="127"/>
      <c r="S115" s="127"/>
      <c r="W115" s="33"/>
      <c r="X115" s="33"/>
      <c r="Y115" s="33"/>
    </row>
    <row r="116" spans="1:25" s="9" customFormat="1" ht="24">
      <c r="A116" s="1325" t="s">
        <v>1659</v>
      </c>
      <c r="B116" s="1326"/>
      <c r="C116" s="1401"/>
      <c r="D116" s="1394"/>
      <c r="E116" s="1401"/>
      <c r="F116" s="1327"/>
      <c r="G116" s="1401"/>
      <c r="H116" s="1401"/>
      <c r="I116" s="1490"/>
      <c r="J116" s="1384"/>
      <c r="K116" s="261"/>
      <c r="L116" s="1311"/>
      <c r="M116" s="1311"/>
      <c r="N116" s="127">
        <f>1253.406+67.453+1251.697</f>
        <v>2572.5559999999996</v>
      </c>
      <c r="O116" s="134">
        <f>1020.149+57.636+1251.697</f>
        <v>2329.482</v>
      </c>
      <c r="P116" s="127">
        <f>1302.757</f>
        <v>1302.7570000000001</v>
      </c>
      <c r="Q116" s="1293"/>
      <c r="R116" s="1293"/>
      <c r="S116" s="1293"/>
      <c r="W116" s="33"/>
      <c r="X116" s="33"/>
      <c r="Y116" s="33"/>
    </row>
    <row r="117" spans="1:25" s="9" customFormat="1" ht="38.25" customHeight="1">
      <c r="A117" s="1325" t="s">
        <v>1660</v>
      </c>
      <c r="B117" s="176"/>
      <c r="C117" s="174"/>
      <c r="D117" s="174"/>
      <c r="E117" s="174"/>
      <c r="F117" s="1576" t="s">
        <v>557</v>
      </c>
      <c r="G117" s="1801" t="s">
        <v>1487</v>
      </c>
      <c r="H117" s="1576" t="s">
        <v>1445</v>
      </c>
      <c r="I117" s="1796" t="s">
        <v>587</v>
      </c>
      <c r="J117" s="1796" t="s">
        <v>48</v>
      </c>
      <c r="K117" s="1856" t="s">
        <v>1486</v>
      </c>
      <c r="L117" s="7"/>
      <c r="M117" s="7"/>
      <c r="N117" s="127">
        <f>3063.011+2306.615+15052.505</f>
        <v>20422.131000000001</v>
      </c>
      <c r="O117" s="134">
        <f>2793.91+2306.615+6134.509</f>
        <v>11235.034</v>
      </c>
      <c r="P117" s="127">
        <f>9187.097+1080.591+47040.665</f>
        <v>57308.353000000003</v>
      </c>
      <c r="Q117" s="127"/>
      <c r="R117" s="127"/>
      <c r="S117" s="127"/>
      <c r="T117" s="240"/>
      <c r="W117" s="33"/>
      <c r="X117" s="33"/>
      <c r="Y117" s="33"/>
    </row>
    <row r="118" spans="1:25" s="9" customFormat="1" ht="38.25" customHeight="1">
      <c r="A118" s="250"/>
      <c r="B118" s="173" t="s">
        <v>570</v>
      </c>
      <c r="C118" s="174"/>
      <c r="D118" s="174"/>
      <c r="E118" s="174"/>
      <c r="F118" s="1576"/>
      <c r="G118" s="1801"/>
      <c r="H118" s="1576"/>
      <c r="I118" s="1796"/>
      <c r="J118" s="1796"/>
      <c r="K118" s="1856"/>
      <c r="L118" s="7"/>
      <c r="M118" s="7"/>
      <c r="N118" s="127">
        <v>24229.212</v>
      </c>
      <c r="O118" s="134">
        <v>19643.067999999999</v>
      </c>
      <c r="P118" s="127">
        <v>0</v>
      </c>
      <c r="Q118" s="127"/>
      <c r="R118" s="127"/>
      <c r="S118" s="127"/>
      <c r="T118" s="240"/>
      <c r="W118" s="33"/>
      <c r="X118" s="33"/>
      <c r="Y118" s="33"/>
    </row>
    <row r="119" spans="1:25" s="9" customFormat="1" ht="38.25" customHeight="1">
      <c r="A119" s="250"/>
      <c r="B119" s="173" t="s">
        <v>626</v>
      </c>
      <c r="C119" s="174"/>
      <c r="D119" s="174"/>
      <c r="E119" s="174"/>
      <c r="F119" s="1576"/>
      <c r="G119" s="1801"/>
      <c r="H119" s="1576"/>
      <c r="I119" s="1796"/>
      <c r="J119" s="1796"/>
      <c r="K119" s="1856"/>
      <c r="L119" s="7"/>
      <c r="M119" s="7"/>
      <c r="N119" s="127">
        <v>50033.222999999998</v>
      </c>
      <c r="O119" s="134">
        <v>7578.7030000000004</v>
      </c>
      <c r="P119" s="127">
        <v>0</v>
      </c>
      <c r="Q119" s="127"/>
      <c r="R119" s="127"/>
      <c r="S119" s="127"/>
      <c r="T119" s="240"/>
      <c r="W119" s="33"/>
      <c r="X119" s="33"/>
      <c r="Y119" s="33"/>
    </row>
    <row r="120" spans="1:25" s="9" customFormat="1" ht="150" customHeight="1">
      <c r="A120" s="824" t="s">
        <v>1661</v>
      </c>
      <c r="B120" s="35"/>
      <c r="C120" s="260"/>
      <c r="D120" s="1402"/>
      <c r="E120" s="1318"/>
      <c r="F120" s="174" t="s">
        <v>245</v>
      </c>
      <c r="G120" s="174" t="s">
        <v>243</v>
      </c>
      <c r="H120" s="174" t="s">
        <v>166</v>
      </c>
      <c r="I120" s="181" t="s">
        <v>887</v>
      </c>
      <c r="J120" s="181" t="s">
        <v>48</v>
      </c>
      <c r="K120" s="247" t="s">
        <v>282</v>
      </c>
      <c r="L120" s="7"/>
      <c r="M120" s="7"/>
      <c r="N120" s="127">
        <f>49168.889+4392.388</f>
        <v>53561.277000000002</v>
      </c>
      <c r="O120" s="134">
        <f>49003.227+4392.388</f>
        <v>53395.614999999998</v>
      </c>
      <c r="P120" s="127">
        <f>84243.095-0.11</f>
        <v>84242.985000000001</v>
      </c>
      <c r="Q120" s="127">
        <v>46682.5</v>
      </c>
      <c r="R120" s="127">
        <f>47430.4+7440.5</f>
        <v>54870.9</v>
      </c>
      <c r="S120" s="127">
        <f>50041+305</f>
        <v>50346</v>
      </c>
      <c r="T120" s="240"/>
      <c r="W120" s="33"/>
      <c r="X120" s="33"/>
      <c r="Y120" s="33"/>
    </row>
    <row r="121" spans="1:25" s="9" customFormat="1" ht="84">
      <c r="A121" s="36"/>
      <c r="B121" s="35"/>
      <c r="C121" s="1409"/>
      <c r="D121" s="1409"/>
      <c r="E121" s="1409"/>
      <c r="F121" s="1409"/>
      <c r="G121" s="1409"/>
      <c r="H121" s="1409"/>
      <c r="I121" s="1409" t="s">
        <v>593</v>
      </c>
      <c r="J121" s="1409" t="s">
        <v>48</v>
      </c>
      <c r="K121" s="247" t="s">
        <v>571</v>
      </c>
      <c r="L121" s="7"/>
      <c r="M121" s="7"/>
      <c r="N121" s="127"/>
      <c r="O121" s="134"/>
      <c r="P121" s="127"/>
      <c r="Q121" s="127"/>
      <c r="R121" s="127"/>
      <c r="S121" s="127"/>
      <c r="T121" s="240"/>
      <c r="W121" s="33"/>
      <c r="X121" s="33"/>
      <c r="Y121" s="33"/>
    </row>
    <row r="122" spans="1:25" s="9" customFormat="1" ht="61.5" customHeight="1">
      <c r="A122" s="36"/>
      <c r="B122" s="35"/>
      <c r="C122" s="181"/>
      <c r="D122" s="181"/>
      <c r="E122" s="181"/>
      <c r="F122" s="268"/>
      <c r="G122" s="268"/>
      <c r="H122" s="268"/>
      <c r="I122" s="242" t="s">
        <v>234</v>
      </c>
      <c r="J122" s="242" t="s">
        <v>48</v>
      </c>
      <c r="K122" s="243" t="s">
        <v>239</v>
      </c>
      <c r="L122" s="7"/>
      <c r="M122" s="7"/>
      <c r="N122" s="127"/>
      <c r="O122" s="134"/>
      <c r="P122" s="127"/>
      <c r="Q122" s="127"/>
      <c r="R122" s="127"/>
      <c r="S122" s="127"/>
      <c r="T122" s="240"/>
      <c r="W122" s="33"/>
      <c r="X122" s="33"/>
      <c r="Y122" s="33"/>
    </row>
    <row r="123" spans="1:25" s="9" customFormat="1" ht="48" customHeight="1">
      <c r="A123" s="36"/>
      <c r="B123" s="35"/>
      <c r="C123" s="181"/>
      <c r="D123" s="181"/>
      <c r="E123" s="181"/>
      <c r="F123" s="268"/>
      <c r="G123" s="268"/>
      <c r="H123" s="268"/>
      <c r="I123" s="242" t="s">
        <v>310</v>
      </c>
      <c r="J123" s="242" t="s">
        <v>48</v>
      </c>
      <c r="K123" s="243" t="s">
        <v>311</v>
      </c>
      <c r="L123" s="204"/>
      <c r="M123" s="204"/>
      <c r="N123" s="127"/>
      <c r="O123" s="134"/>
      <c r="P123" s="127"/>
      <c r="Q123" s="127"/>
      <c r="R123" s="127"/>
      <c r="S123" s="127"/>
      <c r="T123" s="240"/>
      <c r="W123" s="33"/>
      <c r="X123" s="33"/>
      <c r="Y123" s="33"/>
    </row>
    <row r="124" spans="1:25" s="9" customFormat="1" ht="38.25" customHeight="1">
      <c r="A124" s="36"/>
      <c r="B124" s="35"/>
      <c r="C124" s="181"/>
      <c r="D124" s="181"/>
      <c r="E124" s="181"/>
      <c r="F124" s="181"/>
      <c r="G124" s="181"/>
      <c r="H124" s="181"/>
      <c r="I124" s="181" t="s">
        <v>60</v>
      </c>
      <c r="J124" s="181" t="s">
        <v>48</v>
      </c>
      <c r="K124" s="269" t="s">
        <v>51</v>
      </c>
      <c r="L124" s="204"/>
      <c r="M124" s="204"/>
      <c r="N124" s="127"/>
      <c r="O124" s="134"/>
      <c r="P124" s="127"/>
      <c r="Q124" s="127"/>
      <c r="R124" s="127"/>
      <c r="S124" s="127"/>
      <c r="T124" s="240"/>
      <c r="W124" s="33"/>
      <c r="X124" s="33"/>
      <c r="Y124" s="33"/>
    </row>
    <row r="125" spans="1:25" s="9" customFormat="1" ht="228.75" customHeight="1">
      <c r="A125" s="276"/>
      <c r="B125" s="277" t="s">
        <v>636</v>
      </c>
      <c r="C125" s="1389"/>
      <c r="D125" s="1389"/>
      <c r="E125" s="1389"/>
      <c r="F125" s="209" t="s">
        <v>1475</v>
      </c>
      <c r="G125" s="6" t="s">
        <v>48</v>
      </c>
      <c r="H125" s="5" t="s">
        <v>1476</v>
      </c>
      <c r="I125" s="216" t="s">
        <v>927</v>
      </c>
      <c r="J125" s="216" t="s">
        <v>48</v>
      </c>
      <c r="K125" s="217" t="s">
        <v>699</v>
      </c>
      <c r="L125" s="223"/>
      <c r="M125" s="223"/>
      <c r="N125" s="127">
        <v>20853.400000000001</v>
      </c>
      <c r="O125" s="134">
        <v>20793.414000000001</v>
      </c>
      <c r="P125" s="127">
        <v>31806.9</v>
      </c>
      <c r="Q125" s="127"/>
      <c r="R125" s="127"/>
      <c r="S125" s="127"/>
      <c r="T125" s="240"/>
      <c r="W125" s="33"/>
      <c r="X125" s="33"/>
      <c r="Y125" s="33"/>
    </row>
    <row r="126" spans="1:25" s="9" customFormat="1" ht="150" customHeight="1">
      <c r="A126" s="270"/>
      <c r="B126" s="275" t="s">
        <v>855</v>
      </c>
      <c r="C126" s="181"/>
      <c r="D126" s="181"/>
      <c r="E126" s="181"/>
      <c r="F126" s="1312" t="s">
        <v>1474</v>
      </c>
      <c r="G126" s="3" t="s">
        <v>48</v>
      </c>
      <c r="H126" s="4" t="s">
        <v>454</v>
      </c>
      <c r="I126" s="5" t="s">
        <v>932</v>
      </c>
      <c r="J126" s="5" t="s">
        <v>48</v>
      </c>
      <c r="K126" s="6" t="s">
        <v>577</v>
      </c>
      <c r="L126" s="7"/>
      <c r="M126" s="7"/>
      <c r="N126" s="8">
        <v>152.499</v>
      </c>
      <c r="O126" s="134">
        <v>151.03200000000001</v>
      </c>
      <c r="P126" s="8">
        <v>164.81</v>
      </c>
      <c r="Q126" s="8"/>
      <c r="R126" s="8"/>
      <c r="S126" s="8"/>
      <c r="T126" s="240"/>
      <c r="W126" s="33"/>
      <c r="X126" s="33"/>
      <c r="Y126" s="33"/>
    </row>
    <row r="127" spans="1:25" s="9" customFormat="1" ht="87" customHeight="1">
      <c r="A127" s="270"/>
      <c r="B127" s="173" t="s">
        <v>637</v>
      </c>
      <c r="C127" s="174"/>
      <c r="D127" s="174"/>
      <c r="E127" s="174"/>
      <c r="F127" s="271" t="s">
        <v>557</v>
      </c>
      <c r="G127" s="179" t="s">
        <v>1491</v>
      </c>
      <c r="H127" s="174" t="s">
        <v>1445</v>
      </c>
      <c r="I127" s="204" t="s">
        <v>970</v>
      </c>
      <c r="J127" s="204" t="s">
        <v>48</v>
      </c>
      <c r="K127" s="204" t="s">
        <v>971</v>
      </c>
      <c r="L127" s="7"/>
      <c r="M127" s="7"/>
      <c r="N127" s="127">
        <f>2989.097-2352.7</f>
        <v>636.39700000000039</v>
      </c>
      <c r="O127" s="134">
        <v>31.792999999999999</v>
      </c>
      <c r="P127" s="127">
        <v>2580.5880000000002</v>
      </c>
      <c r="Q127" s="127"/>
      <c r="R127" s="127"/>
      <c r="S127" s="127"/>
      <c r="T127" s="240"/>
      <c r="W127" s="33"/>
      <c r="X127" s="33"/>
      <c r="Y127" s="33"/>
    </row>
    <row r="128" spans="1:25" s="9" customFormat="1" ht="12.75" customHeight="1">
      <c r="A128" s="1821"/>
      <c r="B128" s="233"/>
      <c r="C128" s="237"/>
      <c r="D128" s="234"/>
      <c r="E128" s="237"/>
      <c r="F128" s="1578" t="s">
        <v>557</v>
      </c>
      <c r="G128" s="174"/>
      <c r="H128" s="174"/>
      <c r="I128" s="238"/>
      <c r="J128" s="5"/>
      <c r="K128" s="239"/>
      <c r="L128" s="7"/>
      <c r="M128" s="7"/>
      <c r="N128" s="127">
        <f>195.81+0.798</f>
        <v>196.608</v>
      </c>
      <c r="O128" s="134">
        <f>195.81+0.798</f>
        <v>196.608</v>
      </c>
      <c r="P128" s="127">
        <v>0</v>
      </c>
      <c r="Q128" s="127"/>
      <c r="R128" s="127"/>
      <c r="S128" s="127"/>
      <c r="T128" s="240"/>
      <c r="W128" s="33"/>
      <c r="X128" s="33"/>
      <c r="Y128" s="33"/>
    </row>
    <row r="129" spans="1:25" s="9" customFormat="1" ht="37.5" customHeight="1">
      <c r="A129" s="1821"/>
      <c r="B129" s="241" t="s">
        <v>895</v>
      </c>
      <c r="C129" s="1391"/>
      <c r="D129" s="1394"/>
      <c r="E129" s="1391"/>
      <c r="F129" s="1578"/>
      <c r="G129" s="179" t="s">
        <v>1483</v>
      </c>
      <c r="H129" s="1854" t="s">
        <v>1445</v>
      </c>
      <c r="I129" s="242"/>
      <c r="J129" s="82"/>
      <c r="K129" s="243"/>
      <c r="L129" s="7"/>
      <c r="M129" s="7"/>
      <c r="N129" s="127">
        <v>797.26199999999994</v>
      </c>
      <c r="O129" s="134">
        <v>797.26199999999994</v>
      </c>
      <c r="P129" s="127">
        <v>0</v>
      </c>
      <c r="Q129" s="127"/>
      <c r="R129" s="127"/>
      <c r="S129" s="127"/>
      <c r="T129" s="240"/>
      <c r="W129" s="33"/>
      <c r="X129" s="33"/>
      <c r="Y129" s="33"/>
    </row>
    <row r="130" spans="1:25" s="9" customFormat="1" ht="37.5" customHeight="1">
      <c r="A130" s="1821"/>
      <c r="B130" s="35" t="s">
        <v>896</v>
      </c>
      <c r="C130" s="1409"/>
      <c r="D130" s="1409"/>
      <c r="E130" s="1409"/>
      <c r="F130" s="1578"/>
      <c r="G130" s="179" t="s">
        <v>616</v>
      </c>
      <c r="H130" s="1854"/>
      <c r="I130" s="242"/>
      <c r="J130" s="82"/>
      <c r="K130" s="243"/>
      <c r="L130" s="7"/>
      <c r="M130" s="7"/>
      <c r="N130" s="127">
        <v>195.81</v>
      </c>
      <c r="O130" s="134">
        <v>195.81</v>
      </c>
      <c r="P130" s="127">
        <v>0</v>
      </c>
      <c r="Q130" s="127"/>
      <c r="R130" s="127"/>
      <c r="S130" s="127"/>
      <c r="T130" s="240"/>
      <c r="W130" s="33"/>
      <c r="X130" s="33"/>
      <c r="Y130" s="33"/>
    </row>
    <row r="131" spans="1:25" s="9" customFormat="1" ht="51" customHeight="1">
      <c r="A131" s="824" t="s">
        <v>1662</v>
      </c>
      <c r="B131" s="272"/>
      <c r="C131" s="181"/>
      <c r="D131" s="181"/>
      <c r="E131" s="181"/>
      <c r="F131" s="1578" t="s">
        <v>235</v>
      </c>
      <c r="G131" s="1578" t="s">
        <v>236</v>
      </c>
      <c r="H131" s="1578" t="s">
        <v>225</v>
      </c>
      <c r="I131" s="1605" t="s">
        <v>969</v>
      </c>
      <c r="J131" s="1605" t="s">
        <v>48</v>
      </c>
      <c r="K131" s="1604" t="s">
        <v>611</v>
      </c>
      <c r="L131" s="7"/>
      <c r="M131" s="7"/>
      <c r="N131" s="127">
        <v>3311.5920000000001</v>
      </c>
      <c r="O131" s="134">
        <v>3235.9920000000002</v>
      </c>
      <c r="P131" s="127">
        <v>5185.2</v>
      </c>
      <c r="Q131" s="127">
        <v>6332.5</v>
      </c>
      <c r="R131" s="127">
        <v>6332.5</v>
      </c>
      <c r="S131" s="127">
        <v>6332.5</v>
      </c>
      <c r="T131" s="240"/>
      <c r="W131" s="33"/>
      <c r="X131" s="33"/>
      <c r="Y131" s="33"/>
    </row>
    <row r="132" spans="1:25" s="9" customFormat="1" ht="12">
      <c r="A132" s="267"/>
      <c r="B132" s="272"/>
      <c r="C132" s="181"/>
      <c r="D132" s="181"/>
      <c r="E132" s="181"/>
      <c r="F132" s="1578"/>
      <c r="G132" s="1578"/>
      <c r="H132" s="1578"/>
      <c r="I132" s="1605"/>
      <c r="J132" s="1605"/>
      <c r="K132" s="1604"/>
      <c r="L132" s="7"/>
      <c r="M132" s="7"/>
      <c r="N132" s="127"/>
      <c r="O132" s="134"/>
      <c r="P132" s="127"/>
      <c r="Q132" s="127"/>
      <c r="R132" s="127"/>
      <c r="S132" s="127"/>
      <c r="T132" s="240"/>
      <c r="W132" s="33"/>
      <c r="X132" s="33"/>
      <c r="Y132" s="33"/>
    </row>
    <row r="133" spans="1:25" s="9" customFormat="1" ht="23.25" customHeight="1">
      <c r="A133" s="170"/>
      <c r="B133" s="275" t="s">
        <v>854</v>
      </c>
      <c r="C133" s="273"/>
      <c r="D133" s="273"/>
      <c r="E133" s="273"/>
      <c r="F133" s="1578"/>
      <c r="G133" s="1578"/>
      <c r="H133" s="1578"/>
      <c r="I133" s="1605"/>
      <c r="J133" s="1605"/>
      <c r="K133" s="1604"/>
      <c r="L133" s="206"/>
      <c r="M133" s="206"/>
      <c r="N133" s="8">
        <v>2314.424</v>
      </c>
      <c r="O133" s="134">
        <v>2261.6469999999999</v>
      </c>
      <c r="P133" s="8">
        <v>1397.4</v>
      </c>
      <c r="Q133" s="8"/>
      <c r="R133" s="8"/>
      <c r="S133" s="8"/>
      <c r="T133" s="240"/>
      <c r="W133" s="33"/>
      <c r="X133" s="33"/>
      <c r="Y133" s="33"/>
    </row>
    <row r="134" spans="1:25" s="9" customFormat="1" ht="197.25" customHeight="1">
      <c r="A134" s="278"/>
      <c r="B134" s="35" t="s">
        <v>608</v>
      </c>
      <c r="C134" s="1409"/>
      <c r="D134" s="1409"/>
      <c r="E134" s="1409"/>
      <c r="F134" s="181" t="s">
        <v>557</v>
      </c>
      <c r="G134" s="182" t="s">
        <v>1479</v>
      </c>
      <c r="H134" s="181" t="s">
        <v>1480</v>
      </c>
      <c r="I134" s="184" t="s">
        <v>928</v>
      </c>
      <c r="J134" s="184" t="s">
        <v>48</v>
      </c>
      <c r="K134" s="243" t="s">
        <v>615</v>
      </c>
      <c r="L134" s="7"/>
      <c r="M134" s="7"/>
      <c r="N134" s="127">
        <v>6499.3220000000001</v>
      </c>
      <c r="O134" s="134">
        <v>6498.567</v>
      </c>
      <c r="P134" s="127">
        <v>9052.4</v>
      </c>
      <c r="Q134" s="127"/>
      <c r="R134" s="127"/>
      <c r="S134" s="127"/>
      <c r="T134" s="240"/>
      <c r="W134" s="33"/>
      <c r="X134" s="33"/>
      <c r="Y134" s="33"/>
    </row>
    <row r="135" spans="1:25" s="9" customFormat="1" ht="276" customHeight="1">
      <c r="A135" s="1382"/>
      <c r="B135" s="7" t="s">
        <v>960</v>
      </c>
      <c r="C135" s="1388"/>
      <c r="D135" s="1388"/>
      <c r="E135" s="1388"/>
      <c r="F135" s="1388" t="s">
        <v>977</v>
      </c>
      <c r="G135" s="1419" t="s">
        <v>48</v>
      </c>
      <c r="H135" s="1388" t="s">
        <v>978</v>
      </c>
      <c r="I135" s="1387" t="s">
        <v>975</v>
      </c>
      <c r="J135" s="1387" t="s">
        <v>48</v>
      </c>
      <c r="K135" s="1387" t="s">
        <v>976</v>
      </c>
      <c r="L135" s="7" t="s">
        <v>33</v>
      </c>
      <c r="M135" s="7" t="s">
        <v>28</v>
      </c>
      <c r="N135" s="134">
        <v>114</v>
      </c>
      <c r="O135" s="134">
        <v>42.241</v>
      </c>
      <c r="P135" s="134">
        <v>204</v>
      </c>
      <c r="Q135" s="134"/>
      <c r="R135" s="134"/>
      <c r="S135" s="134"/>
      <c r="T135" s="240"/>
      <c r="W135" s="33"/>
      <c r="X135" s="33"/>
      <c r="Y135" s="33"/>
    </row>
    <row r="136" spans="1:25" s="9" customFormat="1" ht="12.75" customHeight="1">
      <c r="A136" s="1859" t="s">
        <v>1664</v>
      </c>
      <c r="B136" s="173"/>
      <c r="C136" s="174"/>
      <c r="D136" s="174"/>
      <c r="E136" s="174"/>
      <c r="F136" s="252"/>
      <c r="G136" s="179"/>
      <c r="H136" s="174"/>
      <c r="I136" s="253"/>
      <c r="J136" s="174"/>
      <c r="K136" s="254"/>
      <c r="L136" s="7"/>
      <c r="M136" s="7"/>
      <c r="N136" s="127"/>
      <c r="O136" s="134"/>
      <c r="P136" s="127"/>
      <c r="Q136" s="127"/>
      <c r="R136" s="127"/>
      <c r="S136" s="127"/>
      <c r="T136" s="240"/>
      <c r="W136" s="33"/>
      <c r="X136" s="33"/>
      <c r="Y136" s="33"/>
    </row>
    <row r="137" spans="1:25" s="9" customFormat="1" ht="49.5" customHeight="1">
      <c r="A137" s="1859"/>
      <c r="B137" s="258"/>
      <c r="C137" s="1424"/>
      <c r="D137" s="1391"/>
      <c r="E137" s="1394"/>
      <c r="F137" s="1737" t="s">
        <v>557</v>
      </c>
      <c r="G137" s="1629" t="s">
        <v>1489</v>
      </c>
      <c r="H137" s="1860" t="s">
        <v>1488</v>
      </c>
      <c r="I137" s="1799" t="s">
        <v>1576</v>
      </c>
      <c r="J137" s="100" t="s">
        <v>48</v>
      </c>
      <c r="K137" s="259" t="s">
        <v>1490</v>
      </c>
      <c r="L137" s="7"/>
      <c r="M137" s="7"/>
      <c r="N137" s="127"/>
      <c r="O137" s="134"/>
      <c r="P137" s="127">
        <f>19.12</f>
        <v>19.12</v>
      </c>
      <c r="Q137" s="127"/>
      <c r="R137" s="127"/>
      <c r="S137" s="127"/>
      <c r="T137" s="240"/>
      <c r="W137" s="33"/>
      <c r="X137" s="33"/>
      <c r="Y137" s="33"/>
    </row>
    <row r="138" spans="1:25" s="9" customFormat="1" ht="24.75" customHeight="1">
      <c r="A138" s="1859"/>
      <c r="B138" s="35" t="s">
        <v>1345</v>
      </c>
      <c r="C138" s="1409"/>
      <c r="D138" s="1409"/>
      <c r="E138" s="260"/>
      <c r="F138" s="1737"/>
      <c r="G138" s="1629"/>
      <c r="H138" s="1860"/>
      <c r="I138" s="1799"/>
      <c r="J138" s="100"/>
      <c r="K138" s="92"/>
      <c r="L138" s="7"/>
      <c r="M138" s="7"/>
      <c r="N138" s="127"/>
      <c r="O138" s="134"/>
      <c r="P138" s="127">
        <v>17000</v>
      </c>
      <c r="Q138" s="127"/>
      <c r="R138" s="127"/>
      <c r="S138" s="127"/>
      <c r="T138" s="240"/>
      <c r="W138" s="33"/>
      <c r="X138" s="33"/>
      <c r="Y138" s="33"/>
    </row>
    <row r="139" spans="1:25" s="9" customFormat="1" ht="25.5" customHeight="1">
      <c r="A139" s="1859"/>
      <c r="B139" s="35" t="s">
        <v>1346</v>
      </c>
      <c r="C139" s="1409"/>
      <c r="D139" s="1409"/>
      <c r="E139" s="260"/>
      <c r="F139" s="1737"/>
      <c r="G139" s="1629"/>
      <c r="H139" s="1860"/>
      <c r="I139" s="1799"/>
      <c r="J139" s="100"/>
      <c r="K139" s="92"/>
      <c r="L139" s="7"/>
      <c r="M139" s="7"/>
      <c r="N139" s="127"/>
      <c r="O139" s="134"/>
      <c r="P139" s="127">
        <v>2101.1239999999998</v>
      </c>
      <c r="Q139" s="127"/>
      <c r="R139" s="127"/>
      <c r="S139" s="127"/>
      <c r="T139" s="240"/>
      <c r="W139" s="33"/>
      <c r="X139" s="33"/>
      <c r="Y139" s="33"/>
    </row>
    <row r="140" spans="1:25" s="9" customFormat="1" ht="16.5" customHeight="1">
      <c r="A140" s="1681"/>
      <c r="B140" s="7"/>
      <c r="C140" s="5"/>
      <c r="D140" s="5"/>
      <c r="E140" s="239"/>
      <c r="F140" s="1578" t="s">
        <v>557</v>
      </c>
      <c r="G140" s="1744" t="s">
        <v>1485</v>
      </c>
      <c r="H140" s="1742" t="s">
        <v>1372</v>
      </c>
      <c r="I140" s="1704" t="s">
        <v>1537</v>
      </c>
      <c r="J140" s="1635" t="s">
        <v>48</v>
      </c>
      <c r="K140" s="1798" t="s">
        <v>890</v>
      </c>
      <c r="L140" s="7"/>
      <c r="M140" s="7"/>
      <c r="N140" s="127"/>
      <c r="O140" s="134"/>
      <c r="P140" s="127">
        <f>183.956-9.844+9.596+0.221</f>
        <v>183.929</v>
      </c>
      <c r="Q140" s="127"/>
      <c r="R140" s="127"/>
      <c r="S140" s="127"/>
      <c r="T140" s="240"/>
      <c r="W140" s="33"/>
      <c r="X140" s="33"/>
      <c r="Y140" s="33"/>
    </row>
    <row r="141" spans="1:25" s="9" customFormat="1" ht="24" customHeight="1">
      <c r="A141" s="1681"/>
      <c r="B141" s="180" t="s">
        <v>572</v>
      </c>
      <c r="C141" s="261"/>
      <c r="D141" s="1402"/>
      <c r="E141" s="1394"/>
      <c r="F141" s="1578"/>
      <c r="G141" s="1744"/>
      <c r="H141" s="1742"/>
      <c r="I141" s="1704"/>
      <c r="J141" s="1635"/>
      <c r="K141" s="1798"/>
      <c r="L141" s="7"/>
      <c r="M141" s="7"/>
      <c r="N141" s="8">
        <f>58625+0</f>
        <v>58625</v>
      </c>
      <c r="O141" s="134">
        <v>50093.213000000003</v>
      </c>
      <c r="P141" s="127">
        <f>153652.6+8531.787</f>
        <v>162184.38700000002</v>
      </c>
      <c r="Q141" s="127"/>
      <c r="R141" s="127"/>
      <c r="S141" s="127"/>
      <c r="T141" s="240"/>
      <c r="W141" s="33"/>
      <c r="X141" s="33"/>
      <c r="Y141" s="33"/>
    </row>
    <row r="142" spans="1:25" s="9" customFormat="1" ht="24" customHeight="1">
      <c r="A142" s="1217"/>
      <c r="B142" s="248" t="s">
        <v>573</v>
      </c>
      <c r="C142" s="262"/>
      <c r="D142" s="1402"/>
      <c r="E142" s="262"/>
      <c r="F142" s="1578"/>
      <c r="G142" s="1744"/>
      <c r="H142" s="1742"/>
      <c r="I142" s="1704"/>
      <c r="J142" s="1635"/>
      <c r="K142" s="1215"/>
      <c r="L142" s="140"/>
      <c r="M142" s="140"/>
      <c r="N142" s="8">
        <v>8760.0570000000007</v>
      </c>
      <c r="O142" s="134">
        <v>7485.1930000000002</v>
      </c>
      <c r="P142" s="141">
        <f>18990.771+1054.491</f>
        <v>20045.262000000002</v>
      </c>
      <c r="Q142" s="141"/>
      <c r="R142" s="141"/>
      <c r="S142" s="141"/>
      <c r="T142" s="240"/>
      <c r="W142" s="33"/>
      <c r="X142" s="33"/>
      <c r="Y142" s="33"/>
    </row>
    <row r="143" spans="1:25" s="9" customFormat="1" ht="24" customHeight="1">
      <c r="A143" s="1217"/>
      <c r="B143" s="248" t="s">
        <v>1347</v>
      </c>
      <c r="C143" s="262"/>
      <c r="D143" s="1402"/>
      <c r="E143" s="262"/>
      <c r="F143" s="1578"/>
      <c r="G143" s="264"/>
      <c r="H143" s="263"/>
      <c r="I143" s="1704"/>
      <c r="J143" s="1391"/>
      <c r="K143" s="265"/>
      <c r="L143" s="140"/>
      <c r="M143" s="140"/>
      <c r="N143" s="141"/>
      <c r="O143" s="141"/>
      <c r="P143" s="141">
        <f>1294.718+220.374</f>
        <v>1515.0920000000001</v>
      </c>
      <c r="Q143" s="141"/>
      <c r="R143" s="141"/>
      <c r="S143" s="141"/>
      <c r="T143" s="240"/>
      <c r="W143" s="33"/>
      <c r="X143" s="33"/>
      <c r="Y143" s="33"/>
    </row>
    <row r="144" spans="1:25" s="9" customFormat="1" ht="44.25" customHeight="1">
      <c r="A144" s="170"/>
      <c r="B144" s="255"/>
      <c r="C144" s="256"/>
      <c r="D144" s="1391"/>
      <c r="E144" s="1394"/>
      <c r="F144" s="1629" t="s">
        <v>557</v>
      </c>
      <c r="G144" s="1391" t="s">
        <v>1171</v>
      </c>
      <c r="H144" s="1394" t="s">
        <v>1488</v>
      </c>
      <c r="I144" s="1797" t="s">
        <v>1174</v>
      </c>
      <c r="J144" s="5" t="s">
        <v>48</v>
      </c>
      <c r="K144" s="5" t="s">
        <v>1079</v>
      </c>
      <c r="L144" s="7" t="s">
        <v>33</v>
      </c>
      <c r="M144" s="7" t="s">
        <v>28</v>
      </c>
      <c r="N144" s="127">
        <v>0</v>
      </c>
      <c r="O144" s="134">
        <v>0</v>
      </c>
      <c r="P144" s="127">
        <v>1500.16</v>
      </c>
      <c r="Q144" s="127"/>
      <c r="R144" s="127"/>
      <c r="S144" s="127"/>
      <c r="T144" s="240"/>
      <c r="W144" s="33"/>
      <c r="X144" s="33"/>
      <c r="Y144" s="33"/>
    </row>
    <row r="145" spans="1:25" s="9" customFormat="1" ht="42.75" customHeight="1">
      <c r="A145" s="170"/>
      <c r="B145" s="439" t="s">
        <v>578</v>
      </c>
      <c r="C145" s="256"/>
      <c r="D145" s="1391"/>
      <c r="E145" s="1394"/>
      <c r="F145" s="1629"/>
      <c r="G145" s="1391"/>
      <c r="H145" s="1394"/>
      <c r="I145" s="1797"/>
      <c r="J145" s="1391"/>
      <c r="K145" s="257"/>
      <c r="L145" s="7"/>
      <c r="M145" s="7"/>
      <c r="N145" s="127"/>
      <c r="O145" s="134"/>
      <c r="P145" s="127">
        <v>13501.4</v>
      </c>
      <c r="Q145" s="127"/>
      <c r="R145" s="127"/>
      <c r="S145" s="127"/>
      <c r="T145" s="240"/>
      <c r="W145" s="33"/>
      <c r="X145" s="33"/>
      <c r="Y145" s="33"/>
    </row>
    <row r="146" spans="1:25" s="9" customFormat="1" ht="25.5" customHeight="1">
      <c r="A146" s="1217"/>
      <c r="B146" s="248"/>
      <c r="C146" s="262"/>
      <c r="D146" s="1402"/>
      <c r="E146" s="262"/>
      <c r="F146" s="1777" t="s">
        <v>557</v>
      </c>
      <c r="G146" s="1857" t="s">
        <v>617</v>
      </c>
      <c r="H146" s="1629" t="s">
        <v>1379</v>
      </c>
      <c r="I146" s="1629" t="s">
        <v>1577</v>
      </c>
      <c r="J146" s="1629" t="s">
        <v>48</v>
      </c>
      <c r="K146" s="1795" t="s">
        <v>1069</v>
      </c>
      <c r="L146" s="140"/>
      <c r="M146" s="140"/>
      <c r="N146" s="141"/>
      <c r="O146" s="141"/>
      <c r="P146" s="141">
        <v>0.24299999999999999</v>
      </c>
      <c r="Q146" s="141"/>
      <c r="R146" s="141"/>
      <c r="S146" s="141"/>
      <c r="T146" s="240"/>
      <c r="W146" s="33"/>
      <c r="X146" s="33"/>
      <c r="Y146" s="33"/>
    </row>
    <row r="147" spans="1:25" s="9" customFormat="1" ht="61.5" customHeight="1">
      <c r="A147" s="1217"/>
      <c r="B147" s="248" t="s">
        <v>1068</v>
      </c>
      <c r="C147" s="262"/>
      <c r="D147" s="1402"/>
      <c r="E147" s="262"/>
      <c r="F147" s="1777"/>
      <c r="G147" s="1857"/>
      <c r="H147" s="1629"/>
      <c r="I147" s="1629"/>
      <c r="J147" s="1629"/>
      <c r="K147" s="1795"/>
      <c r="L147" s="140"/>
      <c r="M147" s="140"/>
      <c r="N147" s="141"/>
      <c r="O147" s="141"/>
      <c r="P147" s="141">
        <v>243.7</v>
      </c>
      <c r="Q147" s="141"/>
      <c r="R147" s="141"/>
      <c r="S147" s="141"/>
      <c r="T147" s="240"/>
      <c r="W147" s="33"/>
      <c r="X147" s="33"/>
      <c r="Y147" s="33"/>
    </row>
    <row r="148" spans="1:25" s="9" customFormat="1" ht="88.5" customHeight="1">
      <c r="A148" s="1329"/>
      <c r="B148" s="173" t="s">
        <v>621</v>
      </c>
      <c r="C148" s="174"/>
      <c r="D148" s="174"/>
      <c r="E148" s="174"/>
      <c r="F148" s="1279" t="s">
        <v>557</v>
      </c>
      <c r="G148" s="182" t="s">
        <v>1484</v>
      </c>
      <c r="H148" s="181" t="s">
        <v>1372</v>
      </c>
      <c r="I148" s="184" t="s">
        <v>940</v>
      </c>
      <c r="J148" s="184" t="s">
        <v>48</v>
      </c>
      <c r="K148" s="243" t="s">
        <v>891</v>
      </c>
      <c r="L148" s="7"/>
      <c r="M148" s="7"/>
      <c r="N148" s="127">
        <v>6075</v>
      </c>
      <c r="O148" s="134">
        <v>1877.546</v>
      </c>
      <c r="P148" s="127">
        <v>0</v>
      </c>
      <c r="Q148" s="127"/>
      <c r="R148" s="127"/>
      <c r="S148" s="127"/>
      <c r="T148" s="240"/>
      <c r="W148" s="33"/>
      <c r="X148" s="33"/>
      <c r="Y148" s="33"/>
    </row>
    <row r="149" spans="1:25" s="9" customFormat="1" ht="44.25" customHeight="1">
      <c r="A149" s="251"/>
      <c r="B149" s="35" t="s">
        <v>856</v>
      </c>
      <c r="C149" s="1409"/>
      <c r="D149" s="1409"/>
      <c r="E149" s="1409"/>
      <c r="F149" s="1742" t="s">
        <v>557</v>
      </c>
      <c r="G149" s="1744" t="s">
        <v>467</v>
      </c>
      <c r="H149" s="1742" t="s">
        <v>1445</v>
      </c>
      <c r="I149" s="1685" t="s">
        <v>1575</v>
      </c>
      <c r="J149" s="1685" t="s">
        <v>48</v>
      </c>
      <c r="K149" s="1855" t="s">
        <v>627</v>
      </c>
      <c r="L149" s="7"/>
      <c r="M149" s="7"/>
      <c r="N149" s="127">
        <f>67.545+45.031+78.804</f>
        <v>191.38</v>
      </c>
      <c r="O149" s="134">
        <f>67.545+45.031+78.804</f>
        <v>191.38</v>
      </c>
      <c r="P149" s="127">
        <v>0</v>
      </c>
      <c r="Q149" s="127"/>
      <c r="R149" s="127"/>
      <c r="S149" s="127"/>
      <c r="T149" s="240"/>
      <c r="W149" s="33"/>
      <c r="X149" s="33"/>
      <c r="Y149" s="33"/>
    </row>
    <row r="150" spans="1:25" s="9" customFormat="1" ht="40.5" customHeight="1">
      <c r="A150" s="176"/>
      <c r="B150" s="35" t="s">
        <v>857</v>
      </c>
      <c r="C150" s="1409"/>
      <c r="D150" s="1409"/>
      <c r="E150" s="1409"/>
      <c r="F150" s="1742"/>
      <c r="G150" s="1744"/>
      <c r="H150" s="1742"/>
      <c r="I150" s="1685"/>
      <c r="J150" s="1685"/>
      <c r="K150" s="1855"/>
      <c r="L150" s="7"/>
      <c r="M150" s="7"/>
      <c r="N150" s="127">
        <v>5.92</v>
      </c>
      <c r="O150" s="134">
        <v>5.92</v>
      </c>
      <c r="P150" s="127">
        <v>0</v>
      </c>
      <c r="Q150" s="127"/>
      <c r="R150" s="127"/>
      <c r="S150" s="127"/>
      <c r="T150" s="240"/>
      <c r="W150" s="33"/>
      <c r="X150" s="33"/>
      <c r="Y150" s="33"/>
    </row>
    <row r="151" spans="1:25" s="9" customFormat="1" ht="82.5" customHeight="1">
      <c r="A151" s="1330" t="s">
        <v>1663</v>
      </c>
      <c r="B151" s="173" t="s">
        <v>601</v>
      </c>
      <c r="C151" s="280"/>
      <c r="D151" s="280"/>
      <c r="E151" s="280"/>
      <c r="F151" s="1719" t="s">
        <v>557</v>
      </c>
      <c r="G151" s="6" t="s">
        <v>1482</v>
      </c>
      <c r="H151" s="5" t="s">
        <v>1445</v>
      </c>
      <c r="I151" s="1759" t="s">
        <v>930</v>
      </c>
      <c r="J151" s="1759" t="s">
        <v>48</v>
      </c>
      <c r="K151" s="1759" t="s">
        <v>603</v>
      </c>
      <c r="L151" s="140"/>
      <c r="M151" s="140"/>
      <c r="N151" s="127">
        <v>2073.6610000000001</v>
      </c>
      <c r="O151" s="134">
        <v>2073.66</v>
      </c>
      <c r="P151" s="127">
        <v>2093.9690000000001</v>
      </c>
      <c r="Q151" s="127"/>
      <c r="R151" s="127"/>
      <c r="S151" s="127"/>
      <c r="T151" s="240"/>
      <c r="W151" s="33"/>
      <c r="X151" s="33"/>
      <c r="Y151" s="33"/>
    </row>
    <row r="152" spans="1:25" s="9" customFormat="1" ht="90.75" customHeight="1">
      <c r="A152" s="1217"/>
      <c r="B152" s="279" t="s">
        <v>602</v>
      </c>
      <c r="C152" s="280"/>
      <c r="D152" s="280"/>
      <c r="E152" s="280"/>
      <c r="F152" s="1719"/>
      <c r="G152" s="6"/>
      <c r="H152" s="5"/>
      <c r="I152" s="1759"/>
      <c r="J152" s="1759"/>
      <c r="K152" s="1759"/>
      <c r="L152" s="140"/>
      <c r="M152" s="140"/>
      <c r="N152" s="127">
        <v>64.134</v>
      </c>
      <c r="O152" s="134">
        <v>64.134</v>
      </c>
      <c r="P152" s="127">
        <v>42.731000000000002</v>
      </c>
      <c r="Q152" s="127"/>
      <c r="R152" s="127"/>
      <c r="S152" s="127"/>
      <c r="T152" s="240"/>
      <c r="W152" s="33"/>
      <c r="X152" s="33"/>
      <c r="Y152" s="33"/>
    </row>
    <row r="153" spans="1:25" s="9" customFormat="1" ht="224.25" customHeight="1">
      <c r="A153" s="1217"/>
      <c r="B153" s="281" t="s">
        <v>959</v>
      </c>
      <c r="C153" s="280"/>
      <c r="D153" s="280"/>
      <c r="E153" s="280"/>
      <c r="F153" s="1417" t="s">
        <v>1471</v>
      </c>
      <c r="G153" s="1461" t="s">
        <v>48</v>
      </c>
      <c r="H153" s="1417" t="s">
        <v>1472</v>
      </c>
      <c r="I153" s="1387" t="s">
        <v>1157</v>
      </c>
      <c r="J153" s="1387" t="s">
        <v>48</v>
      </c>
      <c r="K153" s="1387" t="s">
        <v>1473</v>
      </c>
      <c r="L153" s="140"/>
      <c r="M153" s="140"/>
      <c r="N153" s="134">
        <v>415.58600000000001</v>
      </c>
      <c r="O153" s="134">
        <v>411.43200000000002</v>
      </c>
      <c r="P153" s="141">
        <v>1211.9000000000001</v>
      </c>
      <c r="Q153" s="141"/>
      <c r="R153" s="141"/>
      <c r="S153" s="141"/>
      <c r="T153" s="240"/>
      <c r="W153" s="33"/>
      <c r="X153" s="33"/>
      <c r="Y153" s="33"/>
    </row>
    <row r="154" spans="1:25" s="9" customFormat="1" ht="187.5" customHeight="1">
      <c r="A154" s="1217"/>
      <c r="B154" s="281" t="s">
        <v>483</v>
      </c>
      <c r="C154" s="280"/>
      <c r="D154" s="280"/>
      <c r="E154" s="280"/>
      <c r="F154" s="271" t="s">
        <v>558</v>
      </c>
      <c r="G154" s="182" t="s">
        <v>50</v>
      </c>
      <c r="H154" s="181" t="s">
        <v>559</v>
      </c>
      <c r="I154" s="273" t="s">
        <v>1041</v>
      </c>
      <c r="J154" s="273" t="s">
        <v>48</v>
      </c>
      <c r="K154" s="217" t="s">
        <v>1481</v>
      </c>
      <c r="L154" s="7"/>
      <c r="M154" s="7"/>
      <c r="N154" s="127">
        <v>36461.305</v>
      </c>
      <c r="O154" s="134">
        <v>36414.758999999998</v>
      </c>
      <c r="P154" s="127">
        <v>42393.2</v>
      </c>
      <c r="Q154" s="127"/>
      <c r="R154" s="127"/>
      <c r="S154" s="127"/>
      <c r="T154" s="240"/>
      <c r="W154" s="33"/>
      <c r="X154" s="33"/>
      <c r="Y154" s="33"/>
    </row>
    <row r="155" spans="1:25" s="9" customFormat="1" ht="13.5" customHeight="1">
      <c r="A155" s="285" t="s">
        <v>672</v>
      </c>
      <c r="B155" s="173"/>
      <c r="C155" s="174"/>
      <c r="D155" s="174"/>
      <c r="E155" s="174"/>
      <c r="F155" s="177"/>
      <c r="G155" s="179"/>
      <c r="H155" s="174"/>
      <c r="I155" s="286"/>
      <c r="J155" s="286"/>
      <c r="K155" s="287"/>
      <c r="L155" s="7"/>
      <c r="M155" s="7"/>
      <c r="N155" s="127"/>
      <c r="O155" s="134"/>
      <c r="P155" s="127"/>
      <c r="Q155" s="127"/>
      <c r="R155" s="127"/>
      <c r="S155" s="127"/>
      <c r="T155" s="240"/>
      <c r="W155" s="33"/>
      <c r="X155" s="33"/>
      <c r="Y155" s="33"/>
    </row>
    <row r="156" spans="1:25" s="9" customFormat="1" ht="12.75" customHeight="1">
      <c r="A156" s="1858" t="s">
        <v>858</v>
      </c>
      <c r="B156" s="288"/>
      <c r="C156" s="11"/>
      <c r="D156" s="11"/>
      <c r="E156" s="11"/>
      <c r="F156" s="1754" t="s">
        <v>315</v>
      </c>
      <c r="G156" s="1680" t="s">
        <v>419</v>
      </c>
      <c r="H156" s="1680" t="s">
        <v>316</v>
      </c>
      <c r="I156" s="11"/>
      <c r="J156" s="11"/>
      <c r="K156" s="290"/>
      <c r="L156" s="7"/>
      <c r="M156" s="7"/>
      <c r="N156" s="127"/>
      <c r="O156" s="134"/>
      <c r="P156" s="127"/>
      <c r="Q156" s="127"/>
      <c r="R156" s="127"/>
      <c r="S156" s="127"/>
      <c r="T156" s="240"/>
      <c r="W156" s="33"/>
      <c r="X156" s="33"/>
      <c r="Y156" s="33"/>
    </row>
    <row r="157" spans="1:25" s="9" customFormat="1" ht="76.5" customHeight="1">
      <c r="A157" s="1858"/>
      <c r="B157" s="288" t="s">
        <v>293</v>
      </c>
      <c r="C157" s="204"/>
      <c r="D157" s="204"/>
      <c r="E157" s="204"/>
      <c r="F157" s="1754"/>
      <c r="G157" s="1680"/>
      <c r="H157" s="1680"/>
      <c r="I157" s="221" t="s">
        <v>936</v>
      </c>
      <c r="J157" s="221" t="s">
        <v>48</v>
      </c>
      <c r="K157" s="221" t="s">
        <v>935</v>
      </c>
      <c r="L157" s="1311"/>
      <c r="M157" s="1311"/>
      <c r="N157" s="1293">
        <f>286.807+55.064</f>
        <v>341.87100000000004</v>
      </c>
      <c r="O157" s="1293">
        <f>286.807+0</f>
        <v>286.80700000000002</v>
      </c>
      <c r="P157" s="1293">
        <v>0</v>
      </c>
      <c r="Q157" s="1293"/>
      <c r="R157" s="1293"/>
      <c r="S157" s="1293"/>
      <c r="T157" s="240"/>
      <c r="W157" s="33"/>
      <c r="X157" s="33"/>
      <c r="Y157" s="33"/>
    </row>
    <row r="158" spans="1:25" s="9" customFormat="1" ht="74.25" customHeight="1">
      <c r="A158" s="293"/>
      <c r="B158" s="288" t="s">
        <v>999</v>
      </c>
      <c r="C158" s="11"/>
      <c r="D158" s="11"/>
      <c r="E158" s="11"/>
      <c r="F158" s="1754"/>
      <c r="G158" s="1680"/>
      <c r="H158" s="1680"/>
      <c r="I158" s="11" t="s">
        <v>1000</v>
      </c>
      <c r="J158" s="11" t="s">
        <v>48</v>
      </c>
      <c r="K158" s="11" t="s">
        <v>1001</v>
      </c>
      <c r="L158" s="1253" t="s">
        <v>33</v>
      </c>
      <c r="M158" s="1253" t="s">
        <v>28</v>
      </c>
      <c r="N158" s="1257">
        <f>42.499+7.481</f>
        <v>49.980000000000004</v>
      </c>
      <c r="O158" s="1257">
        <f>42.499+0</f>
        <v>42.499000000000002</v>
      </c>
      <c r="P158" s="1257">
        <v>0</v>
      </c>
      <c r="Q158" s="1257"/>
      <c r="R158" s="1257"/>
      <c r="S158" s="1257"/>
      <c r="T158" s="240"/>
      <c r="W158" s="33"/>
      <c r="X158" s="33"/>
      <c r="Y158" s="33"/>
    </row>
    <row r="159" spans="1:25" s="9" customFormat="1" ht="53.25" hidden="1" customHeight="1">
      <c r="A159" s="295"/>
      <c r="B159" s="296" t="s">
        <v>553</v>
      </c>
      <c r="C159" s="297"/>
      <c r="D159" s="297"/>
      <c r="E159" s="297"/>
      <c r="F159" s="298"/>
      <c r="G159" s="297"/>
      <c r="H159" s="297"/>
      <c r="I159" s="11" t="s">
        <v>560</v>
      </c>
      <c r="J159" s="297" t="s">
        <v>48</v>
      </c>
      <c r="K159" s="297" t="s">
        <v>554</v>
      </c>
      <c r="L159" s="294" t="s">
        <v>33</v>
      </c>
      <c r="M159" s="296" t="s">
        <v>28</v>
      </c>
      <c r="N159" s="299"/>
      <c r="O159" s="637"/>
      <c r="P159" s="299"/>
      <c r="Q159" s="299"/>
      <c r="R159" s="299"/>
      <c r="S159" s="299"/>
      <c r="T159" s="240"/>
      <c r="W159" s="33"/>
      <c r="X159" s="33"/>
      <c r="Y159" s="33"/>
    </row>
    <row r="160" spans="1:25" s="9" customFormat="1" ht="136.5" customHeight="1">
      <c r="A160" s="189" t="s">
        <v>1492</v>
      </c>
      <c r="B160" s="190" t="s">
        <v>347</v>
      </c>
      <c r="C160" s="191" t="s">
        <v>247</v>
      </c>
      <c r="D160" s="191" t="s">
        <v>1176</v>
      </c>
      <c r="E160" s="191" t="s">
        <v>1177</v>
      </c>
      <c r="F160" s="191" t="s">
        <v>245</v>
      </c>
      <c r="G160" s="191" t="s">
        <v>233</v>
      </c>
      <c r="H160" s="192" t="s">
        <v>166</v>
      </c>
      <c r="I160" s="191"/>
      <c r="J160" s="191"/>
      <c r="K160" s="192"/>
      <c r="L160" s="300" t="s">
        <v>33</v>
      </c>
      <c r="M160" s="300" t="s">
        <v>32</v>
      </c>
      <c r="N160" s="301">
        <f>SUM(N161:N182)</f>
        <v>121485.25</v>
      </c>
      <c r="O160" s="1508">
        <f t="shared" ref="O160" si="13">SUM(O161:O182)</f>
        <v>121077.34999999999</v>
      </c>
      <c r="P160" s="301">
        <f>SUM(P161:P182)</f>
        <v>127734.46600000001</v>
      </c>
      <c r="Q160" s="301">
        <f t="shared" ref="Q160:S160" si="14">SUM(Q161:Q182)</f>
        <v>61083.899999999994</v>
      </c>
      <c r="R160" s="301">
        <f t="shared" si="14"/>
        <v>64034.799999999996</v>
      </c>
      <c r="S160" s="301">
        <f t="shared" si="14"/>
        <v>58271.899999999994</v>
      </c>
      <c r="W160" s="33"/>
      <c r="X160" s="33"/>
      <c r="Y160" s="33"/>
    </row>
    <row r="161" spans="1:25" s="9" customFormat="1" ht="12.75" customHeight="1">
      <c r="A161" s="302" t="s">
        <v>669</v>
      </c>
      <c r="B161" s="197"/>
      <c r="C161" s="1719" t="s">
        <v>246</v>
      </c>
      <c r="D161" s="1719" t="s">
        <v>1493</v>
      </c>
      <c r="E161" s="1719" t="s">
        <v>166</v>
      </c>
      <c r="F161" s="1718"/>
      <c r="G161" s="1718"/>
      <c r="H161" s="1718"/>
      <c r="I161" s="196"/>
      <c r="J161" s="196"/>
      <c r="K161" s="196"/>
      <c r="L161" s="303"/>
      <c r="M161" s="303"/>
      <c r="N161" s="304"/>
      <c r="O161" s="1507"/>
      <c r="P161" s="304"/>
      <c r="Q161" s="304"/>
      <c r="R161" s="304"/>
      <c r="S161" s="304"/>
      <c r="W161" s="33"/>
      <c r="X161" s="33"/>
      <c r="Y161" s="33"/>
    </row>
    <row r="162" spans="1:25" s="9" customFormat="1" ht="36.75" customHeight="1">
      <c r="A162" s="125" t="s">
        <v>730</v>
      </c>
      <c r="B162" s="7"/>
      <c r="C162" s="1719"/>
      <c r="D162" s="1719"/>
      <c r="E162" s="1719"/>
      <c r="F162" s="1719"/>
      <c r="G162" s="1719"/>
      <c r="H162" s="1719"/>
      <c r="I162" s="1719" t="s">
        <v>1565</v>
      </c>
      <c r="J162" s="5" t="s">
        <v>649</v>
      </c>
      <c r="K162" s="5" t="s">
        <v>555</v>
      </c>
      <c r="L162" s="7"/>
      <c r="M162" s="7"/>
      <c r="N162" s="127"/>
      <c r="O162" s="134"/>
      <c r="P162" s="127"/>
      <c r="Q162" s="127"/>
      <c r="R162" s="127"/>
      <c r="S162" s="127"/>
      <c r="W162" s="33"/>
      <c r="X162" s="33"/>
      <c r="Y162" s="33"/>
    </row>
    <row r="163" spans="1:25" s="9" customFormat="1" ht="39" customHeight="1">
      <c r="A163" s="128" t="s">
        <v>731</v>
      </c>
      <c r="B163" s="7"/>
      <c r="C163" s="5"/>
      <c r="D163" s="5"/>
      <c r="E163" s="5"/>
      <c r="F163" s="5"/>
      <c r="G163" s="5"/>
      <c r="H163" s="5"/>
      <c r="I163" s="1719"/>
      <c r="J163" s="5"/>
      <c r="K163" s="5"/>
      <c r="L163" s="7"/>
      <c r="M163" s="7"/>
      <c r="N163" s="127">
        <v>19</v>
      </c>
      <c r="O163" s="134">
        <v>19</v>
      </c>
      <c r="P163" s="127">
        <v>19</v>
      </c>
      <c r="Q163" s="127">
        <v>19</v>
      </c>
      <c r="R163" s="127">
        <v>19</v>
      </c>
      <c r="S163" s="127">
        <v>20</v>
      </c>
      <c r="W163" s="33"/>
      <c r="X163" s="33"/>
      <c r="Y163" s="33"/>
    </row>
    <row r="164" spans="1:25" s="9" customFormat="1" ht="123" customHeight="1">
      <c r="A164" s="1278" t="s">
        <v>1646</v>
      </c>
      <c r="B164" s="1311"/>
      <c r="C164" s="1384"/>
      <c r="D164" s="1384"/>
      <c r="E164" s="1384"/>
      <c r="F164" s="1384"/>
      <c r="G164" s="1384"/>
      <c r="H164" s="1384"/>
      <c r="I164" s="1384"/>
      <c r="J164" s="1384"/>
      <c r="K164" s="1384"/>
      <c r="L164" s="1311"/>
      <c r="M164" s="1311"/>
      <c r="N164" s="1293"/>
      <c r="O164" s="1293"/>
      <c r="P164" s="1293"/>
      <c r="Q164" s="1293">
        <v>720</v>
      </c>
      <c r="R164" s="1293">
        <v>800</v>
      </c>
      <c r="S164" s="1293">
        <v>1370</v>
      </c>
      <c r="W164" s="33"/>
      <c r="X164" s="33"/>
      <c r="Y164" s="33"/>
    </row>
    <row r="165" spans="1:25" s="9" customFormat="1" ht="36" customHeight="1">
      <c r="A165" s="128" t="s">
        <v>1642</v>
      </c>
      <c r="B165" s="7"/>
      <c r="C165" s="5"/>
      <c r="D165" s="5"/>
      <c r="E165" s="5"/>
      <c r="F165" s="5"/>
      <c r="G165" s="5"/>
      <c r="H165" s="5"/>
      <c r="I165" s="5"/>
      <c r="J165" s="5"/>
      <c r="K165" s="5"/>
      <c r="L165" s="7"/>
      <c r="M165" s="7"/>
      <c r="N165" s="127">
        <v>7</v>
      </c>
      <c r="O165" s="134">
        <v>7</v>
      </c>
      <c r="P165" s="127">
        <v>7</v>
      </c>
      <c r="Q165" s="127">
        <v>7</v>
      </c>
      <c r="R165" s="127">
        <v>7</v>
      </c>
      <c r="S165" s="127">
        <v>7</v>
      </c>
      <c r="W165" s="33"/>
      <c r="X165" s="33"/>
      <c r="Y165" s="33"/>
    </row>
    <row r="166" spans="1:25" s="9" customFormat="1" ht="39" customHeight="1">
      <c r="A166" s="128" t="s">
        <v>1643</v>
      </c>
      <c r="B166" s="7"/>
      <c r="C166" s="5"/>
      <c r="D166" s="5"/>
      <c r="E166" s="5"/>
      <c r="F166" s="5"/>
      <c r="G166" s="5"/>
      <c r="H166" s="5"/>
      <c r="I166" s="5"/>
      <c r="J166" s="5"/>
      <c r="K166" s="5"/>
      <c r="L166" s="7"/>
      <c r="M166" s="7"/>
      <c r="N166" s="127">
        <v>555.09500000000003</v>
      </c>
      <c r="O166" s="134">
        <v>555.09500000000003</v>
      </c>
      <c r="P166" s="127">
        <v>644.6</v>
      </c>
      <c r="Q166" s="127">
        <v>763.4</v>
      </c>
      <c r="R166" s="127">
        <v>763.4</v>
      </c>
      <c r="S166" s="127">
        <v>763.4</v>
      </c>
      <c r="W166" s="33"/>
      <c r="X166" s="33"/>
      <c r="Y166" s="33"/>
    </row>
    <row r="167" spans="1:25" s="9" customFormat="1" ht="48">
      <c r="A167" s="126" t="s">
        <v>1644</v>
      </c>
      <c r="B167" s="1446"/>
      <c r="C167" s="1388"/>
      <c r="D167" s="1388"/>
      <c r="E167" s="1388"/>
      <c r="F167" s="1388"/>
      <c r="G167" s="1388"/>
      <c r="H167" s="1388"/>
      <c r="I167" s="1388"/>
      <c r="J167" s="1388"/>
      <c r="K167" s="1388"/>
      <c r="L167" s="1446"/>
      <c r="M167" s="1446"/>
      <c r="N167" s="134">
        <v>0</v>
      </c>
      <c r="O167" s="134">
        <v>0</v>
      </c>
      <c r="P167" s="134">
        <f>468.43-266.08</f>
        <v>202.35000000000002</v>
      </c>
      <c r="Q167" s="134"/>
      <c r="R167" s="134"/>
      <c r="S167" s="134"/>
      <c r="W167" s="33"/>
      <c r="X167" s="33"/>
      <c r="Y167" s="33"/>
    </row>
    <row r="168" spans="1:25" s="9" customFormat="1" ht="63" customHeight="1">
      <c r="A168" s="128" t="s">
        <v>1645</v>
      </c>
      <c r="B168" s="7"/>
      <c r="C168" s="5"/>
      <c r="D168" s="5"/>
      <c r="E168" s="5"/>
      <c r="F168" s="5"/>
      <c r="G168" s="5"/>
      <c r="H168" s="5"/>
      <c r="I168" s="5"/>
      <c r="J168" s="5"/>
      <c r="K168" s="5"/>
      <c r="L168" s="7"/>
      <c r="M168" s="7"/>
      <c r="N168" s="127">
        <v>532.5</v>
      </c>
      <c r="O168" s="134">
        <v>532.5</v>
      </c>
      <c r="P168" s="127">
        <v>0</v>
      </c>
      <c r="Q168" s="127">
        <v>0</v>
      </c>
      <c r="R168" s="127">
        <v>532.5</v>
      </c>
      <c r="S168" s="127">
        <v>532.5</v>
      </c>
      <c r="W168" s="33"/>
      <c r="X168" s="33"/>
      <c r="Y168" s="33"/>
    </row>
    <row r="169" spans="1:25" s="9" customFormat="1" ht="51" customHeight="1">
      <c r="A169" s="125" t="s">
        <v>1665</v>
      </c>
      <c r="B169" s="283"/>
      <c r="C169" s="1401"/>
      <c r="D169" s="1401"/>
      <c r="E169" s="1401"/>
      <c r="F169" s="1401"/>
      <c r="G169" s="1418"/>
      <c r="H169" s="1401"/>
      <c r="I169" s="1394"/>
      <c r="J169" s="1445" t="s">
        <v>641</v>
      </c>
      <c r="K169" s="284"/>
      <c r="L169" s="1311"/>
      <c r="M169" s="1311"/>
      <c r="N169" s="1293"/>
      <c r="O169" s="1293"/>
      <c r="P169" s="1293"/>
      <c r="Q169" s="1293"/>
      <c r="R169" s="1293"/>
      <c r="S169" s="1293"/>
      <c r="T169" s="240"/>
      <c r="W169" s="33"/>
      <c r="X169" s="33"/>
      <c r="Y169" s="33"/>
    </row>
    <row r="170" spans="1:25" s="9" customFormat="1" ht="38.25" customHeight="1">
      <c r="A170" s="126" t="s">
        <v>1667</v>
      </c>
      <c r="B170" s="1446"/>
      <c r="C170" s="1388"/>
      <c r="D170" s="1388"/>
      <c r="E170" s="1388"/>
      <c r="F170" s="1388"/>
      <c r="G170" s="1388"/>
      <c r="H170" s="1388"/>
      <c r="I170" s="1388"/>
      <c r="J170" s="1388"/>
      <c r="K170" s="1388"/>
      <c r="L170" s="1446"/>
      <c r="M170" s="1446"/>
      <c r="N170" s="134">
        <v>0</v>
      </c>
      <c r="O170" s="134">
        <v>0</v>
      </c>
      <c r="P170" s="134">
        <v>300</v>
      </c>
      <c r="Q170" s="134">
        <v>4500</v>
      </c>
      <c r="R170" s="134">
        <v>4100</v>
      </c>
      <c r="S170" s="134">
        <v>0</v>
      </c>
      <c r="W170" s="33"/>
      <c r="X170" s="33"/>
      <c r="Y170" s="33"/>
    </row>
    <row r="171" spans="1:25" s="9" customFormat="1" ht="98.25" customHeight="1">
      <c r="A171" s="125" t="s">
        <v>1666</v>
      </c>
      <c r="B171" s="7"/>
      <c r="C171" s="1719"/>
      <c r="D171" s="5"/>
      <c r="E171" s="5"/>
      <c r="F171" s="5"/>
      <c r="G171" s="5"/>
      <c r="H171" s="5"/>
      <c r="I171" s="1409" t="s">
        <v>1570</v>
      </c>
      <c r="J171" s="5" t="s">
        <v>48</v>
      </c>
      <c r="K171" s="5" t="s">
        <v>555</v>
      </c>
      <c r="L171" s="7"/>
      <c r="M171" s="7"/>
      <c r="N171" s="127"/>
      <c r="O171" s="134"/>
      <c r="P171" s="127"/>
      <c r="Q171" s="127"/>
      <c r="R171" s="127"/>
      <c r="S171" s="127"/>
      <c r="W171" s="33"/>
      <c r="X171" s="33"/>
      <c r="Y171" s="33"/>
    </row>
    <row r="172" spans="1:25" s="9" customFormat="1" ht="61.5" customHeight="1">
      <c r="A172" s="128" t="s">
        <v>1668</v>
      </c>
      <c r="B172" s="7"/>
      <c r="C172" s="1719"/>
      <c r="D172" s="5"/>
      <c r="E172" s="5"/>
      <c r="F172" s="5"/>
      <c r="G172" s="5"/>
      <c r="H172" s="5"/>
      <c r="I172" s="5" t="s">
        <v>1573</v>
      </c>
      <c r="J172" s="5" t="s">
        <v>48</v>
      </c>
      <c r="K172" s="6" t="s">
        <v>279</v>
      </c>
      <c r="L172" s="7"/>
      <c r="M172" s="7"/>
      <c r="N172" s="127">
        <v>120.79</v>
      </c>
      <c r="O172" s="134">
        <v>120.79</v>
      </c>
      <c r="P172" s="127">
        <v>120.8</v>
      </c>
      <c r="Q172" s="127">
        <v>120.8</v>
      </c>
      <c r="R172" s="127">
        <v>120.8</v>
      </c>
      <c r="S172" s="127">
        <v>120.8</v>
      </c>
      <c r="W172" s="33"/>
      <c r="X172" s="33"/>
      <c r="Y172" s="33"/>
    </row>
    <row r="173" spans="1:25" s="9" customFormat="1" ht="75.75" customHeight="1">
      <c r="A173" s="128" t="s">
        <v>1669</v>
      </c>
      <c r="B173" s="7"/>
      <c r="C173" s="5"/>
      <c r="D173" s="5"/>
      <c r="E173" s="5"/>
      <c r="F173" s="5"/>
      <c r="G173" s="5"/>
      <c r="H173" s="5"/>
      <c r="I173" s="5" t="s">
        <v>413</v>
      </c>
      <c r="J173" s="5" t="s">
        <v>48</v>
      </c>
      <c r="K173" s="6" t="s">
        <v>225</v>
      </c>
      <c r="L173" s="7"/>
      <c r="M173" s="7"/>
      <c r="N173" s="127">
        <f>67950.468+4149.3+2575.207</f>
        <v>74674.974999999991</v>
      </c>
      <c r="O173" s="134">
        <f>67950.468+4149.3+2575.207</f>
        <v>74674.974999999991</v>
      </c>
      <c r="P173" s="127">
        <f>72191.1+534.615-199.499</f>
        <v>72526.216000000015</v>
      </c>
      <c r="Q173" s="127">
        <f>50138.5+4815.2</f>
        <v>54953.7</v>
      </c>
      <c r="R173" s="127">
        <f>49751.7+4850.4+3090</f>
        <v>57692.1</v>
      </c>
      <c r="S173" s="127">
        <f>50160.7+4894.5+390+13</f>
        <v>55458.2</v>
      </c>
      <c r="W173" s="33"/>
      <c r="X173" s="33"/>
      <c r="Y173" s="33"/>
    </row>
    <row r="174" spans="1:25" s="9" customFormat="1" ht="75.75" customHeight="1">
      <c r="A174" s="128"/>
      <c r="B174" s="7"/>
      <c r="C174" s="5"/>
      <c r="D174" s="5"/>
      <c r="E174" s="5"/>
      <c r="F174" s="1719" t="s">
        <v>245</v>
      </c>
      <c r="G174" s="1719" t="s">
        <v>237</v>
      </c>
      <c r="H174" s="1719" t="s">
        <v>166</v>
      </c>
      <c r="I174" s="5" t="s">
        <v>1494</v>
      </c>
      <c r="J174" s="5" t="s">
        <v>48</v>
      </c>
      <c r="K174" s="6" t="s">
        <v>1495</v>
      </c>
      <c r="L174" s="7"/>
      <c r="M174" s="7"/>
      <c r="N174" s="127"/>
      <c r="O174" s="134"/>
      <c r="P174" s="127"/>
      <c r="Q174" s="127"/>
      <c r="R174" s="127"/>
      <c r="S174" s="127"/>
      <c r="W174" s="33"/>
      <c r="X174" s="33"/>
      <c r="Y174" s="33"/>
    </row>
    <row r="175" spans="1:25" s="9" customFormat="1" ht="38.25" customHeight="1">
      <c r="A175" s="128"/>
      <c r="B175" s="7"/>
      <c r="C175" s="1719"/>
      <c r="D175" s="1719"/>
      <c r="E175" s="1719"/>
      <c r="F175" s="1719"/>
      <c r="G175" s="1719"/>
      <c r="H175" s="1719"/>
      <c r="I175" s="5" t="s">
        <v>60</v>
      </c>
      <c r="J175" s="5" t="s">
        <v>48</v>
      </c>
      <c r="K175" s="6" t="s">
        <v>241</v>
      </c>
      <c r="L175" s="7"/>
      <c r="M175" s="7"/>
      <c r="N175" s="127"/>
      <c r="O175" s="134"/>
      <c r="P175" s="127"/>
      <c r="Q175" s="127"/>
      <c r="R175" s="127"/>
      <c r="S175" s="127"/>
      <c r="W175" s="33"/>
      <c r="X175" s="33"/>
      <c r="Y175" s="33"/>
    </row>
    <row r="176" spans="1:25" s="9" customFormat="1" ht="84">
      <c r="A176" s="128"/>
      <c r="B176" s="7"/>
      <c r="C176" s="1719"/>
      <c r="D176" s="1719"/>
      <c r="E176" s="1719"/>
      <c r="F176" s="5"/>
      <c r="G176" s="5"/>
      <c r="H176" s="5"/>
      <c r="I176" s="5" t="s">
        <v>593</v>
      </c>
      <c r="J176" s="5" t="s">
        <v>48</v>
      </c>
      <c r="K176" s="6" t="s">
        <v>571</v>
      </c>
      <c r="L176" s="7"/>
      <c r="M176" s="7"/>
      <c r="N176" s="127"/>
      <c r="O176" s="134"/>
      <c r="P176" s="127"/>
      <c r="Q176" s="127"/>
      <c r="R176" s="127"/>
      <c r="S176" s="127"/>
      <c r="W176" s="33"/>
      <c r="X176" s="33"/>
      <c r="Y176" s="33"/>
    </row>
    <row r="177" spans="1:25" s="9" customFormat="1" ht="85.5" customHeight="1">
      <c r="A177" s="1681"/>
      <c r="B177" s="7" t="s">
        <v>859</v>
      </c>
      <c r="C177" s="1759"/>
      <c r="D177" s="1759"/>
      <c r="E177" s="1759"/>
      <c r="F177" s="1719" t="s">
        <v>455</v>
      </c>
      <c r="G177" s="5" t="s">
        <v>1497</v>
      </c>
      <c r="H177" s="5" t="s">
        <v>1372</v>
      </c>
      <c r="I177" s="1719" t="s">
        <v>926</v>
      </c>
      <c r="J177" s="1719" t="s">
        <v>48</v>
      </c>
      <c r="K177" s="1721" t="s">
        <v>1496</v>
      </c>
      <c r="L177" s="7"/>
      <c r="M177" s="7"/>
      <c r="N177" s="127">
        <f>43444.2-262.1</f>
        <v>43182.1</v>
      </c>
      <c r="O177" s="134">
        <v>43007</v>
      </c>
      <c r="P177" s="127">
        <v>51897.2</v>
      </c>
      <c r="Q177" s="127"/>
      <c r="R177" s="127"/>
      <c r="S177" s="127"/>
      <c r="W177" s="33"/>
      <c r="X177" s="33"/>
      <c r="Y177" s="33"/>
    </row>
    <row r="178" spans="1:25" s="9" customFormat="1" ht="112.5" customHeight="1">
      <c r="A178" s="1681"/>
      <c r="B178" s="7"/>
      <c r="C178" s="1759"/>
      <c r="D178" s="1759"/>
      <c r="E178" s="1759"/>
      <c r="F178" s="1719"/>
      <c r="G178" s="305"/>
      <c r="H178" s="214"/>
      <c r="I178" s="1719"/>
      <c r="J178" s="1719"/>
      <c r="K178" s="1721"/>
      <c r="L178" s="7"/>
      <c r="M178" s="7"/>
      <c r="N178" s="127"/>
      <c r="O178" s="134"/>
      <c r="P178" s="127"/>
      <c r="Q178" s="127"/>
      <c r="R178" s="127"/>
      <c r="S178" s="127"/>
      <c r="W178" s="33"/>
      <c r="X178" s="33"/>
      <c r="Y178" s="33"/>
    </row>
    <row r="179" spans="1:25" s="9" customFormat="1" ht="137.25" customHeight="1">
      <c r="A179" s="128"/>
      <c r="B179" s="7" t="s">
        <v>860</v>
      </c>
      <c r="C179" s="204"/>
      <c r="D179" s="204"/>
      <c r="E179" s="204"/>
      <c r="F179" s="5" t="s">
        <v>455</v>
      </c>
      <c r="G179" s="5" t="s">
        <v>1498</v>
      </c>
      <c r="H179" s="5" t="s">
        <v>1372</v>
      </c>
      <c r="I179" s="5" t="s">
        <v>931</v>
      </c>
      <c r="J179" s="5" t="s">
        <v>48</v>
      </c>
      <c r="K179" s="6" t="s">
        <v>1496</v>
      </c>
      <c r="L179" s="7"/>
      <c r="M179" s="7"/>
      <c r="N179" s="127">
        <v>2231.1</v>
      </c>
      <c r="O179" s="134">
        <v>1998.3</v>
      </c>
      <c r="P179" s="127">
        <v>2017.3</v>
      </c>
      <c r="Q179" s="127"/>
      <c r="R179" s="127"/>
      <c r="S179" s="127"/>
      <c r="W179" s="33"/>
      <c r="X179" s="33"/>
      <c r="Y179" s="33"/>
    </row>
    <row r="180" spans="1:25" s="9" customFormat="1" ht="11.25" customHeight="1">
      <c r="A180" s="125" t="s">
        <v>670</v>
      </c>
      <c r="B180" s="7"/>
      <c r="C180" s="5"/>
      <c r="D180" s="5"/>
      <c r="E180" s="5"/>
      <c r="F180" s="5"/>
      <c r="G180" s="5"/>
      <c r="H180" s="5"/>
      <c r="I180" s="5"/>
      <c r="J180" s="5"/>
      <c r="K180" s="6"/>
      <c r="L180" s="7"/>
      <c r="M180" s="7"/>
      <c r="N180" s="127"/>
      <c r="O180" s="134"/>
      <c r="P180" s="127"/>
      <c r="Q180" s="127"/>
      <c r="R180" s="127"/>
      <c r="S180" s="127"/>
      <c r="W180" s="33"/>
      <c r="X180" s="33"/>
      <c r="Y180" s="33"/>
    </row>
    <row r="181" spans="1:25" s="9" customFormat="1" ht="13.5" customHeight="1">
      <c r="A181" s="1580" t="s">
        <v>861</v>
      </c>
      <c r="B181" s="7"/>
      <c r="C181" s="204"/>
      <c r="D181" s="204"/>
      <c r="E181" s="204"/>
      <c r="F181" s="1754" t="s">
        <v>315</v>
      </c>
      <c r="G181" s="1680" t="s">
        <v>419</v>
      </c>
      <c r="H181" s="1680" t="s">
        <v>316</v>
      </c>
      <c r="I181" s="204"/>
      <c r="J181" s="204"/>
      <c r="K181" s="204"/>
      <c r="L181" s="7"/>
      <c r="M181" s="7"/>
      <c r="N181" s="127"/>
      <c r="O181" s="134"/>
      <c r="P181" s="127"/>
      <c r="Q181" s="127"/>
      <c r="R181" s="127"/>
      <c r="S181" s="127"/>
      <c r="W181" s="33"/>
      <c r="X181" s="33"/>
      <c r="Y181" s="33"/>
    </row>
    <row r="182" spans="1:25" s="9" customFormat="1" ht="99.75" customHeight="1">
      <c r="A182" s="1584"/>
      <c r="B182" s="291" t="s">
        <v>309</v>
      </c>
      <c r="C182" s="204"/>
      <c r="D182" s="204"/>
      <c r="E182" s="204"/>
      <c r="F182" s="1793"/>
      <c r="G182" s="1794"/>
      <c r="H182" s="1794"/>
      <c r="I182" s="307" t="s">
        <v>993</v>
      </c>
      <c r="J182" s="307" t="s">
        <v>48</v>
      </c>
      <c r="K182" s="307" t="s">
        <v>994</v>
      </c>
      <c r="L182" s="291"/>
      <c r="M182" s="291"/>
      <c r="N182" s="292">
        <v>162.69</v>
      </c>
      <c r="O182" s="637">
        <v>162.69</v>
      </c>
      <c r="P182" s="292">
        <v>0</v>
      </c>
      <c r="Q182" s="292"/>
      <c r="R182" s="292"/>
      <c r="S182" s="292"/>
      <c r="W182" s="33"/>
      <c r="X182" s="33"/>
      <c r="Y182" s="33"/>
    </row>
    <row r="183" spans="1:25" s="9" customFormat="1" ht="60">
      <c r="A183" s="308" t="s">
        <v>1178</v>
      </c>
      <c r="B183" s="190" t="s">
        <v>336</v>
      </c>
      <c r="C183" s="191" t="s">
        <v>247</v>
      </c>
      <c r="D183" s="191" t="s">
        <v>1176</v>
      </c>
      <c r="E183" s="191" t="s">
        <v>1177</v>
      </c>
      <c r="F183" s="1425"/>
      <c r="G183" s="1425"/>
      <c r="H183" s="192"/>
      <c r="I183" s="191"/>
      <c r="J183" s="191"/>
      <c r="K183" s="192"/>
      <c r="L183" s="91" t="s">
        <v>33</v>
      </c>
      <c r="M183" s="309" t="s">
        <v>30</v>
      </c>
      <c r="N183" s="301">
        <f>SUM(N184:N188)</f>
        <v>10112.798999999999</v>
      </c>
      <c r="O183" s="1508">
        <f t="shared" ref="O183" si="15">SUM(O184:O188)</f>
        <v>10111.865</v>
      </c>
      <c r="P183" s="301">
        <f>SUM(P184:P188)</f>
        <v>9279.67</v>
      </c>
      <c r="Q183" s="301">
        <f t="shared" ref="Q183:S183" si="16">SUM(Q184:Q188)</f>
        <v>6204.6</v>
      </c>
      <c r="R183" s="301">
        <f t="shared" si="16"/>
        <v>6204.6</v>
      </c>
      <c r="S183" s="301">
        <f t="shared" si="16"/>
        <v>6204.6</v>
      </c>
      <c r="W183" s="33"/>
      <c r="X183" s="33"/>
      <c r="Y183" s="33"/>
    </row>
    <row r="184" spans="1:25" s="9" customFormat="1" ht="12.75" customHeight="1">
      <c r="A184" s="302" t="s">
        <v>732</v>
      </c>
      <c r="B184" s="300"/>
      <c r="C184" s="1718"/>
      <c r="D184" s="1718"/>
      <c r="E184" s="1788"/>
      <c r="F184" s="1695" t="s">
        <v>456</v>
      </c>
      <c r="G184" s="1695" t="s">
        <v>457</v>
      </c>
      <c r="H184" s="1790" t="s">
        <v>1162</v>
      </c>
      <c r="I184" s="196"/>
      <c r="J184" s="196"/>
      <c r="K184" s="310"/>
      <c r="L184" s="197"/>
      <c r="M184" s="197"/>
      <c r="N184" s="304"/>
      <c r="O184" s="1507"/>
      <c r="P184" s="304"/>
      <c r="Q184" s="311"/>
      <c r="R184" s="311"/>
      <c r="S184" s="311"/>
      <c r="W184" s="33"/>
      <c r="X184" s="33"/>
      <c r="Y184" s="33"/>
    </row>
    <row r="185" spans="1:25" s="150" customFormat="1" ht="81.75" customHeight="1">
      <c r="A185" s="125" t="s">
        <v>733</v>
      </c>
      <c r="B185" s="312"/>
      <c r="C185" s="1719"/>
      <c r="D185" s="1719"/>
      <c r="E185" s="1789"/>
      <c r="F185" s="1791"/>
      <c r="G185" s="1791"/>
      <c r="H185" s="1773"/>
      <c r="I185" s="1719" t="s">
        <v>1570</v>
      </c>
      <c r="J185" s="5" t="s">
        <v>48</v>
      </c>
      <c r="K185" s="6" t="s">
        <v>555</v>
      </c>
      <c r="L185" s="148"/>
      <c r="M185" s="148"/>
      <c r="N185" s="149"/>
      <c r="O185" s="1504"/>
      <c r="P185" s="149"/>
      <c r="Q185" s="313"/>
      <c r="R185" s="313"/>
      <c r="S185" s="313"/>
      <c r="W185" s="151"/>
      <c r="X185" s="151"/>
      <c r="Y185" s="151"/>
    </row>
    <row r="186" spans="1:25" s="9" customFormat="1" ht="17.25" customHeight="1">
      <c r="A186" s="128" t="s">
        <v>734</v>
      </c>
      <c r="B186" s="15"/>
      <c r="C186" s="1719"/>
      <c r="D186" s="5"/>
      <c r="E186" s="1789"/>
      <c r="F186" s="1791"/>
      <c r="G186" s="1791"/>
      <c r="H186" s="1773"/>
      <c r="I186" s="1719"/>
      <c r="J186" s="5"/>
      <c r="K186" s="6"/>
      <c r="L186" s="7"/>
      <c r="M186" s="7"/>
      <c r="N186" s="127">
        <f>3834.77+933.653</f>
        <v>4768.4229999999998</v>
      </c>
      <c r="O186" s="134">
        <f>3834.77+933.653</f>
        <v>4768.4229999999998</v>
      </c>
      <c r="P186" s="127">
        <f>5555.6-580.93</f>
        <v>4974.67</v>
      </c>
      <c r="Q186" s="314">
        <v>6204.6</v>
      </c>
      <c r="R186" s="314">
        <v>6204.6</v>
      </c>
      <c r="S186" s="314">
        <v>6204.6</v>
      </c>
      <c r="W186" s="33"/>
      <c r="X186" s="33"/>
      <c r="Y186" s="33"/>
    </row>
    <row r="187" spans="1:25" s="9" customFormat="1" ht="64.5" customHeight="1">
      <c r="A187" s="128"/>
      <c r="B187" s="204"/>
      <c r="C187" s="5"/>
      <c r="D187" s="5"/>
      <c r="E187" s="1426"/>
      <c r="F187" s="1791"/>
      <c r="G187" s="1791"/>
      <c r="H187" s="1427"/>
      <c r="I187" s="5" t="s">
        <v>1578</v>
      </c>
      <c r="J187" s="5" t="s">
        <v>440</v>
      </c>
      <c r="K187" s="6" t="s">
        <v>441</v>
      </c>
      <c r="L187" s="7"/>
      <c r="M187" s="7"/>
      <c r="N187" s="127"/>
      <c r="O187" s="134"/>
      <c r="P187" s="127"/>
      <c r="Q187" s="314"/>
      <c r="R187" s="314"/>
      <c r="S187" s="314"/>
      <c r="W187" s="33"/>
      <c r="X187" s="33"/>
      <c r="Y187" s="33"/>
    </row>
    <row r="188" spans="1:25" s="9" customFormat="1" ht="39" customHeight="1">
      <c r="A188" s="315"/>
      <c r="B188" s="291" t="s">
        <v>865</v>
      </c>
      <c r="C188" s="307"/>
      <c r="D188" s="307"/>
      <c r="E188" s="316"/>
      <c r="F188" s="1792"/>
      <c r="G188" s="317"/>
      <c r="H188" s="318"/>
      <c r="I188" s="319" t="s">
        <v>552</v>
      </c>
      <c r="J188" s="319" t="s">
        <v>48</v>
      </c>
      <c r="K188" s="320" t="s">
        <v>541</v>
      </c>
      <c r="L188" s="291"/>
      <c r="M188" s="291"/>
      <c r="N188" s="292">
        <v>5344.3760000000002</v>
      </c>
      <c r="O188" s="637">
        <v>5343.442</v>
      </c>
      <c r="P188" s="292">
        <v>4305</v>
      </c>
      <c r="Q188" s="321"/>
      <c r="R188" s="321"/>
      <c r="S188" s="321"/>
      <c r="W188" s="33"/>
      <c r="X188" s="33"/>
      <c r="Y188" s="33"/>
    </row>
    <row r="189" spans="1:25" s="9" customFormat="1" ht="324">
      <c r="A189" s="322" t="s">
        <v>1179</v>
      </c>
      <c r="B189" s="323" t="s">
        <v>34</v>
      </c>
      <c r="C189" s="191" t="s">
        <v>247</v>
      </c>
      <c r="D189" s="191" t="s">
        <v>1176</v>
      </c>
      <c r="E189" s="191" t="s">
        <v>1177</v>
      </c>
      <c r="F189" s="139"/>
      <c r="G189" s="139"/>
      <c r="H189" s="324"/>
      <c r="I189" s="325"/>
      <c r="J189" s="326"/>
      <c r="K189" s="327"/>
      <c r="L189" s="323"/>
      <c r="M189" s="323"/>
      <c r="N189" s="328">
        <f>SUM(N190:N193)</f>
        <v>1087.6999999999998</v>
      </c>
      <c r="O189" s="1509">
        <f t="shared" ref="O189:S189" si="17">SUM(O190:O193)</f>
        <v>1087.6999999999998</v>
      </c>
      <c r="P189" s="328">
        <f t="shared" si="17"/>
        <v>647.4</v>
      </c>
      <c r="Q189" s="328">
        <f t="shared" si="17"/>
        <v>346.4</v>
      </c>
      <c r="R189" s="328">
        <f t="shared" si="17"/>
        <v>346.4</v>
      </c>
      <c r="S189" s="328">
        <f t="shared" si="17"/>
        <v>346.4</v>
      </c>
      <c r="W189" s="33"/>
      <c r="X189" s="33"/>
      <c r="Y189" s="33"/>
    </row>
    <row r="190" spans="1:25" s="9" customFormat="1" ht="15.75" customHeight="1">
      <c r="A190" s="329" t="s">
        <v>735</v>
      </c>
      <c r="B190" s="330"/>
      <c r="C190" s="1718"/>
      <c r="D190" s="1718"/>
      <c r="E190" s="1718"/>
      <c r="F190" s="331"/>
      <c r="G190" s="331"/>
      <c r="H190" s="332"/>
      <c r="I190" s="333"/>
      <c r="J190" s="333"/>
      <c r="K190" s="333"/>
      <c r="L190" s="330"/>
      <c r="M190" s="330"/>
      <c r="N190" s="334"/>
      <c r="O190" s="1507"/>
      <c r="P190" s="334"/>
      <c r="Q190" s="334"/>
      <c r="R190" s="334"/>
      <c r="S190" s="334"/>
      <c r="W190" s="33"/>
      <c r="X190" s="33"/>
      <c r="Y190" s="33"/>
    </row>
    <row r="191" spans="1:25" s="9" customFormat="1" ht="25.5" customHeight="1">
      <c r="A191" s="335" t="s">
        <v>736</v>
      </c>
      <c r="B191" s="7"/>
      <c r="C191" s="1719"/>
      <c r="D191" s="1719"/>
      <c r="E191" s="1719"/>
      <c r="F191" s="5"/>
      <c r="G191" s="5"/>
      <c r="H191" s="6"/>
      <c r="I191" s="1719" t="s">
        <v>1570</v>
      </c>
      <c r="J191" s="214" t="s">
        <v>48</v>
      </c>
      <c r="K191" s="214" t="s">
        <v>555</v>
      </c>
      <c r="L191" s="7"/>
      <c r="M191" s="7"/>
      <c r="N191" s="127"/>
      <c r="O191" s="134"/>
      <c r="P191" s="127"/>
      <c r="Q191" s="127"/>
      <c r="R191" s="127"/>
      <c r="S191" s="127"/>
      <c r="W191" s="33"/>
      <c r="X191" s="33"/>
      <c r="Y191" s="33"/>
    </row>
    <row r="192" spans="1:25" s="9" customFormat="1" ht="78" customHeight="1">
      <c r="A192" s="203" t="s">
        <v>737</v>
      </c>
      <c r="B192" s="7"/>
      <c r="C192" s="1719"/>
      <c r="D192" s="1719"/>
      <c r="E192" s="1719"/>
      <c r="F192" s="5"/>
      <c r="G192" s="5"/>
      <c r="H192" s="6"/>
      <c r="I192" s="1719"/>
      <c r="J192" s="214"/>
      <c r="K192" s="214"/>
      <c r="L192" s="7" t="s">
        <v>33</v>
      </c>
      <c r="M192" s="7" t="s">
        <v>32</v>
      </c>
      <c r="N192" s="127">
        <v>768.3</v>
      </c>
      <c r="O192" s="134">
        <v>768.3</v>
      </c>
      <c r="P192" s="127">
        <f>881.6-207.33-373.27</f>
        <v>301</v>
      </c>
      <c r="Q192" s="127">
        <v>0</v>
      </c>
      <c r="R192" s="127">
        <v>0</v>
      </c>
      <c r="S192" s="127">
        <v>0</v>
      </c>
      <c r="W192" s="33"/>
      <c r="X192" s="33"/>
      <c r="Y192" s="33"/>
    </row>
    <row r="193" spans="1:25" s="9" customFormat="1" ht="77.25" customHeight="1">
      <c r="A193" s="336" t="s">
        <v>738</v>
      </c>
      <c r="B193" s="337"/>
      <c r="C193" s="1786"/>
      <c r="D193" s="1786"/>
      <c r="E193" s="1786"/>
      <c r="F193" s="338"/>
      <c r="G193" s="338"/>
      <c r="H193" s="339"/>
      <c r="I193" s="338" t="s">
        <v>413</v>
      </c>
      <c r="J193" s="338" t="s">
        <v>48</v>
      </c>
      <c r="K193" s="339" t="s">
        <v>225</v>
      </c>
      <c r="L193" s="337" t="s">
        <v>33</v>
      </c>
      <c r="M193" s="337" t="s">
        <v>30</v>
      </c>
      <c r="N193" s="340">
        <v>319.39999999999998</v>
      </c>
      <c r="O193" s="637">
        <v>319.39999999999998</v>
      </c>
      <c r="P193" s="340">
        <f>319.4+27</f>
        <v>346.4</v>
      </c>
      <c r="Q193" s="340">
        <v>346.4</v>
      </c>
      <c r="R193" s="340">
        <v>346.4</v>
      </c>
      <c r="S193" s="340">
        <v>346.4</v>
      </c>
      <c r="W193" s="33"/>
      <c r="X193" s="33"/>
      <c r="Y193" s="33"/>
    </row>
    <row r="194" spans="1:25" s="18" customFormat="1" ht="53.25" hidden="1" customHeight="1">
      <c r="A194" s="1722" t="s">
        <v>348</v>
      </c>
      <c r="B194" s="16">
        <v>1025</v>
      </c>
      <c r="C194" s="131" t="s">
        <v>40</v>
      </c>
      <c r="D194" s="131" t="s">
        <v>248</v>
      </c>
      <c r="E194" s="131" t="s">
        <v>41</v>
      </c>
      <c r="F194" s="1593" t="s">
        <v>71</v>
      </c>
      <c r="G194" s="306" t="s">
        <v>50</v>
      </c>
      <c r="H194" s="306" t="s">
        <v>72</v>
      </c>
      <c r="I194" s="5" t="s">
        <v>73</v>
      </c>
      <c r="J194" s="5" t="s">
        <v>48</v>
      </c>
      <c r="K194" s="6" t="s">
        <v>74</v>
      </c>
      <c r="L194" s="15" t="s">
        <v>30</v>
      </c>
      <c r="M194" s="15" t="s">
        <v>28</v>
      </c>
      <c r="N194" s="341">
        <v>0</v>
      </c>
      <c r="O194" s="1510"/>
      <c r="P194" s="341">
        <v>0</v>
      </c>
      <c r="Q194" s="341">
        <v>0</v>
      </c>
      <c r="R194" s="341">
        <v>0</v>
      </c>
      <c r="S194" s="341">
        <v>0</v>
      </c>
      <c r="W194" s="19"/>
      <c r="X194" s="19"/>
      <c r="Y194" s="19"/>
    </row>
    <row r="195" spans="1:25" s="18" customFormat="1" ht="53.25" hidden="1" customHeight="1">
      <c r="A195" s="1723"/>
      <c r="B195" s="342"/>
      <c r="C195" s="343"/>
      <c r="D195" s="343"/>
      <c r="E195" s="343"/>
      <c r="F195" s="1787"/>
      <c r="G195" s="344"/>
      <c r="H195" s="344"/>
      <c r="I195" s="345" t="s">
        <v>75</v>
      </c>
      <c r="J195" s="345" t="s">
        <v>48</v>
      </c>
      <c r="K195" s="346" t="s">
        <v>76</v>
      </c>
      <c r="L195" s="347"/>
      <c r="M195" s="347"/>
      <c r="N195" s="341"/>
      <c r="O195" s="1510"/>
      <c r="P195" s="341"/>
      <c r="Q195" s="341"/>
      <c r="R195" s="341"/>
      <c r="S195" s="341"/>
      <c r="W195" s="19"/>
      <c r="X195" s="19"/>
      <c r="Y195" s="19"/>
    </row>
    <row r="196" spans="1:25" s="18" customFormat="1" ht="76.5" customHeight="1">
      <c r="A196" s="348" t="s">
        <v>1181</v>
      </c>
      <c r="B196" s="16">
        <v>1026</v>
      </c>
      <c r="C196" s="131" t="s">
        <v>40</v>
      </c>
      <c r="D196" s="131" t="s">
        <v>1180</v>
      </c>
      <c r="E196" s="191" t="s">
        <v>1177</v>
      </c>
      <c r="F196" s="306"/>
      <c r="G196" s="306"/>
      <c r="H196" s="306"/>
      <c r="I196" s="5"/>
      <c r="J196" s="5"/>
      <c r="K196" s="349"/>
      <c r="L196" s="15" t="s">
        <v>27</v>
      </c>
      <c r="M196" s="15" t="s">
        <v>32</v>
      </c>
      <c r="N196" s="350">
        <f>SUM(N197:N201)</f>
        <v>2363.4180000000001</v>
      </c>
      <c r="O196" s="1511">
        <f t="shared" ref="O196:S196" si="18">SUM(O197:O201)</f>
        <v>2363.4180000000001</v>
      </c>
      <c r="P196" s="350">
        <f t="shared" si="18"/>
        <v>3967.8399999999997</v>
      </c>
      <c r="Q196" s="350">
        <f t="shared" si="18"/>
        <v>4404.1000000000004</v>
      </c>
      <c r="R196" s="350">
        <f t="shared" si="18"/>
        <v>845.8</v>
      </c>
      <c r="S196" s="350">
        <f t="shared" si="18"/>
        <v>0</v>
      </c>
      <c r="W196" s="19"/>
      <c r="X196" s="19"/>
      <c r="Y196" s="19"/>
    </row>
    <row r="197" spans="1:25" s="18" customFormat="1" ht="25.5" customHeight="1">
      <c r="A197" s="351" t="s">
        <v>673</v>
      </c>
      <c r="B197" s="352"/>
      <c r="C197" s="1668"/>
      <c r="D197" s="1668"/>
      <c r="E197" s="1782"/>
      <c r="F197" s="1676" t="s">
        <v>1364</v>
      </c>
      <c r="G197" s="1398" t="s">
        <v>58</v>
      </c>
      <c r="H197" s="1398" t="s">
        <v>1365</v>
      </c>
      <c r="I197" s="353"/>
      <c r="J197" s="354"/>
      <c r="K197" s="354"/>
      <c r="L197" s="355"/>
      <c r="M197" s="355"/>
      <c r="N197" s="356"/>
      <c r="O197" s="1507"/>
      <c r="P197" s="356"/>
      <c r="Q197" s="356"/>
      <c r="R197" s="356"/>
      <c r="S197" s="356"/>
      <c r="W197" s="19"/>
      <c r="X197" s="19"/>
      <c r="Y197" s="19"/>
    </row>
    <row r="198" spans="1:25" s="18" customFormat="1" ht="39" customHeight="1">
      <c r="A198" s="142" t="s">
        <v>739</v>
      </c>
      <c r="B198" s="357"/>
      <c r="C198" s="1759"/>
      <c r="D198" s="1759"/>
      <c r="E198" s="1783"/>
      <c r="F198" s="1784"/>
      <c r="G198" s="358"/>
      <c r="H198" s="358"/>
      <c r="I198" s="1781" t="s">
        <v>1670</v>
      </c>
      <c r="J198" s="1396" t="s">
        <v>48</v>
      </c>
      <c r="K198" s="1396" t="s">
        <v>849</v>
      </c>
      <c r="L198" s="1387"/>
      <c r="M198" s="1387"/>
      <c r="N198" s="134"/>
      <c r="O198" s="134"/>
      <c r="P198" s="134"/>
      <c r="Q198" s="134"/>
      <c r="R198" s="134"/>
      <c r="S198" s="134"/>
      <c r="W198" s="19"/>
      <c r="X198" s="19"/>
      <c r="Y198" s="19"/>
    </row>
    <row r="199" spans="1:25" s="18" customFormat="1" ht="24.75" customHeight="1">
      <c r="A199" s="1681" t="s">
        <v>740</v>
      </c>
      <c r="B199" s="357"/>
      <c r="C199" s="1759"/>
      <c r="D199" s="1759"/>
      <c r="E199" s="1783"/>
      <c r="F199" s="1784"/>
      <c r="G199" s="358"/>
      <c r="H199" s="358"/>
      <c r="I199" s="1781"/>
      <c r="J199" s="1396"/>
      <c r="K199" s="1396"/>
      <c r="L199" s="1387"/>
      <c r="M199" s="1387"/>
      <c r="N199" s="134">
        <v>2363.4180000000001</v>
      </c>
      <c r="O199" s="134">
        <v>2363.4180000000001</v>
      </c>
      <c r="P199" s="134">
        <f>2638.1-650</f>
        <v>1988.1</v>
      </c>
      <c r="Q199" s="134">
        <v>4404.1000000000004</v>
      </c>
      <c r="R199" s="134">
        <v>845.8</v>
      </c>
      <c r="S199" s="134">
        <v>0</v>
      </c>
      <c r="W199" s="19"/>
      <c r="X199" s="19"/>
      <c r="Y199" s="19"/>
    </row>
    <row r="200" spans="1:25" s="18" customFormat="1" ht="75.75" customHeight="1">
      <c r="A200" s="1681"/>
      <c r="B200" s="357"/>
      <c r="C200" s="1759"/>
      <c r="D200" s="1759"/>
      <c r="E200" s="1783"/>
      <c r="F200" s="1784"/>
      <c r="G200" s="358"/>
      <c r="H200" s="358"/>
      <c r="I200" s="1422" t="s">
        <v>67</v>
      </c>
      <c r="J200" s="1387" t="s">
        <v>68</v>
      </c>
      <c r="K200" s="1387" t="s">
        <v>69</v>
      </c>
      <c r="L200" s="1387"/>
      <c r="M200" s="1387"/>
      <c r="N200" s="134"/>
      <c r="O200" s="134"/>
      <c r="P200" s="134">
        <f>2479.7+490.04-990</f>
        <v>1979.7399999999998</v>
      </c>
      <c r="Q200" s="134"/>
      <c r="R200" s="134"/>
      <c r="S200" s="134"/>
      <c r="W200" s="19"/>
      <c r="X200" s="19"/>
      <c r="Y200" s="19"/>
    </row>
    <row r="201" spans="1:25" s="18" customFormat="1" ht="36.75" customHeight="1">
      <c r="A201" s="357"/>
      <c r="B201" s="357"/>
      <c r="C201" s="1759"/>
      <c r="D201" s="1759"/>
      <c r="E201" s="1783"/>
      <c r="F201" s="1784"/>
      <c r="G201" s="358"/>
      <c r="H201" s="358"/>
      <c r="I201" s="1422" t="s">
        <v>313</v>
      </c>
      <c r="J201" s="1387" t="s">
        <v>48</v>
      </c>
      <c r="K201" s="1387" t="s">
        <v>314</v>
      </c>
      <c r="L201" s="1387"/>
      <c r="M201" s="1387"/>
      <c r="N201" s="359"/>
      <c r="O201" s="359"/>
      <c r="P201" s="359"/>
      <c r="Q201" s="359"/>
      <c r="R201" s="359"/>
      <c r="S201" s="359"/>
      <c r="W201" s="19"/>
      <c r="X201" s="19"/>
      <c r="Y201" s="19"/>
    </row>
    <row r="202" spans="1:25" s="18" customFormat="1" ht="49.5" customHeight="1">
      <c r="A202" s="360"/>
      <c r="B202" s="360"/>
      <c r="C202" s="1434"/>
      <c r="D202" s="1434"/>
      <c r="E202" s="1431"/>
      <c r="F202" s="1785"/>
      <c r="G202" s="1484"/>
      <c r="H202" s="1484"/>
      <c r="I202" s="361" t="s">
        <v>955</v>
      </c>
      <c r="J202" s="362" t="s">
        <v>48</v>
      </c>
      <c r="K202" s="362" t="s">
        <v>954</v>
      </c>
      <c r="L202" s="362"/>
      <c r="M202" s="362"/>
      <c r="N202" s="363"/>
      <c r="O202" s="1508"/>
      <c r="P202" s="363"/>
      <c r="Q202" s="363"/>
      <c r="R202" s="363"/>
      <c r="S202" s="363"/>
      <c r="W202" s="19"/>
      <c r="X202" s="19"/>
      <c r="Y202" s="19"/>
    </row>
    <row r="203" spans="1:25" s="18" customFormat="1" ht="60" hidden="1">
      <c r="A203" s="1722" t="s">
        <v>429</v>
      </c>
      <c r="B203" s="364">
        <v>1027</v>
      </c>
      <c r="C203" s="1464" t="s">
        <v>40</v>
      </c>
      <c r="D203" s="1464" t="s">
        <v>1184</v>
      </c>
      <c r="E203" s="1428" t="s">
        <v>1177</v>
      </c>
      <c r="F203" s="92"/>
      <c r="G203" s="215"/>
      <c r="H203" s="215"/>
      <c r="I203" s="365"/>
      <c r="J203" s="365"/>
      <c r="K203" s="365"/>
      <c r="L203" s="366" t="s">
        <v>29</v>
      </c>
      <c r="M203" s="366" t="s">
        <v>18</v>
      </c>
      <c r="N203" s="367">
        <f>SUM(N206:N207)</f>
        <v>0</v>
      </c>
      <c r="O203" s="1509"/>
      <c r="P203" s="367">
        <f>SUM(P206:P207)</f>
        <v>0</v>
      </c>
      <c r="Q203" s="367"/>
      <c r="R203" s="367"/>
      <c r="S203" s="367"/>
      <c r="W203" s="19"/>
      <c r="X203" s="19"/>
      <c r="Y203" s="19"/>
    </row>
    <row r="204" spans="1:25" s="9" customFormat="1" ht="88.5" hidden="1" customHeight="1">
      <c r="A204" s="1745"/>
      <c r="B204" s="368"/>
      <c r="C204" s="1484"/>
      <c r="D204" s="1484"/>
      <c r="E204" s="1484"/>
      <c r="F204" s="92"/>
      <c r="G204" s="128"/>
      <c r="H204" s="128"/>
      <c r="I204" s="128"/>
      <c r="J204" s="204"/>
      <c r="K204" s="204"/>
      <c r="L204" s="7"/>
      <c r="M204" s="7"/>
      <c r="N204" s="127"/>
      <c r="O204" s="134"/>
      <c r="P204" s="127"/>
      <c r="Q204" s="314"/>
      <c r="R204" s="314"/>
      <c r="S204" s="314"/>
      <c r="W204" s="33"/>
      <c r="X204" s="33"/>
      <c r="Y204" s="33"/>
    </row>
    <row r="205" spans="1:25" s="9" customFormat="1" ht="53.25" hidden="1" customHeight="1">
      <c r="A205" s="1723"/>
      <c r="B205" s="297"/>
      <c r="C205" s="297"/>
      <c r="D205" s="297"/>
      <c r="E205" s="297"/>
      <c r="F205" s="369"/>
      <c r="G205" s="369"/>
      <c r="H205" s="369"/>
      <c r="I205" s="369"/>
      <c r="J205" s="297"/>
      <c r="K205" s="297"/>
      <c r="L205" s="296"/>
      <c r="M205" s="296"/>
      <c r="N205" s="299"/>
      <c r="O205" s="637"/>
      <c r="P205" s="299"/>
      <c r="Q205" s="1512"/>
      <c r="R205" s="1512"/>
      <c r="S205" s="1512"/>
      <c r="W205" s="33"/>
      <c r="X205" s="33"/>
      <c r="Y205" s="33"/>
    </row>
    <row r="206" spans="1:25" s="9" customFormat="1" ht="12" hidden="1">
      <c r="A206" s="335"/>
      <c r="B206" s="204"/>
      <c r="C206" s="204"/>
      <c r="D206" s="204"/>
      <c r="E206" s="204"/>
      <c r="F206" s="128"/>
      <c r="G206" s="128"/>
      <c r="H206" s="128"/>
      <c r="I206" s="204"/>
      <c r="J206" s="204"/>
      <c r="K206" s="204"/>
      <c r="L206" s="7"/>
      <c r="M206" s="7"/>
      <c r="N206" s="127"/>
      <c r="O206" s="134"/>
      <c r="P206" s="127"/>
      <c r="Q206" s="314"/>
      <c r="R206" s="314"/>
      <c r="S206" s="314"/>
      <c r="W206" s="33"/>
      <c r="X206" s="33"/>
      <c r="Y206" s="33"/>
    </row>
    <row r="207" spans="1:25" s="9" customFormat="1" ht="12" hidden="1">
      <c r="A207" s="203"/>
      <c r="B207" s="7"/>
      <c r="C207" s="204"/>
      <c r="D207" s="204"/>
      <c r="E207" s="204"/>
      <c r="F207" s="128"/>
      <c r="G207" s="128"/>
      <c r="H207" s="128"/>
      <c r="I207" s="204"/>
      <c r="J207" s="204"/>
      <c r="K207" s="204"/>
      <c r="L207" s="7"/>
      <c r="M207" s="7"/>
      <c r="N207" s="127">
        <v>0</v>
      </c>
      <c r="O207" s="134">
        <v>0</v>
      </c>
      <c r="P207" s="127">
        <v>0</v>
      </c>
      <c r="Q207" s="314">
        <v>0</v>
      </c>
      <c r="R207" s="314">
        <v>0</v>
      </c>
      <c r="S207" s="314">
        <v>0</v>
      </c>
      <c r="W207" s="33"/>
      <c r="X207" s="33"/>
      <c r="Y207" s="33"/>
    </row>
    <row r="208" spans="1:25" s="18" customFormat="1" ht="74.25" customHeight="1">
      <c r="A208" s="56" t="s">
        <v>852</v>
      </c>
      <c r="B208" s="57">
        <v>1029</v>
      </c>
      <c r="C208" s="1331" t="s">
        <v>40</v>
      </c>
      <c r="D208" s="1331" t="s">
        <v>1182</v>
      </c>
      <c r="E208" s="191" t="s">
        <v>1177</v>
      </c>
      <c r="F208" s="56"/>
      <c r="G208" s="56"/>
      <c r="H208" s="56"/>
      <c r="I208" s="57"/>
      <c r="J208" s="57"/>
      <c r="K208" s="57"/>
      <c r="L208" s="57"/>
      <c r="M208" s="58"/>
      <c r="N208" s="59">
        <f>SUM(N209:N214)</f>
        <v>5522.3870000000006</v>
      </c>
      <c r="O208" s="1498">
        <f t="shared" ref="O208:S208" si="19">SUM(O209:O214)</f>
        <v>5519.4989999999998</v>
      </c>
      <c r="P208" s="59">
        <f t="shared" si="19"/>
        <v>5972.3</v>
      </c>
      <c r="Q208" s="59">
        <f t="shared" si="19"/>
        <v>2655</v>
      </c>
      <c r="R208" s="59">
        <f t="shared" si="19"/>
        <v>2659</v>
      </c>
      <c r="S208" s="59">
        <f t="shared" si="19"/>
        <v>2698.9</v>
      </c>
      <c r="W208" s="19"/>
      <c r="X208" s="19"/>
      <c r="Y208" s="19"/>
    </row>
    <row r="209" spans="1:25" s="9" customFormat="1" ht="12.75" customHeight="1">
      <c r="A209" s="302" t="s">
        <v>675</v>
      </c>
      <c r="B209" s="370"/>
      <c r="C209" s="1595"/>
      <c r="D209" s="1595"/>
      <c r="E209" s="1595"/>
      <c r="F209" s="13"/>
      <c r="G209" s="13"/>
      <c r="H209" s="13"/>
      <c r="I209" s="196"/>
      <c r="J209" s="196"/>
      <c r="K209" s="310"/>
      <c r="L209" s="303"/>
      <c r="M209" s="303"/>
      <c r="N209" s="371"/>
      <c r="O209" s="1513"/>
      <c r="P209" s="371"/>
      <c r="Q209" s="1514"/>
      <c r="R209" s="1514"/>
      <c r="S209" s="1514"/>
      <c r="W209" s="33"/>
      <c r="X209" s="33"/>
      <c r="Y209" s="33"/>
    </row>
    <row r="210" spans="1:25" s="9" customFormat="1" ht="12" customHeight="1">
      <c r="A210" s="125" t="s">
        <v>741</v>
      </c>
      <c r="B210" s="204"/>
      <c r="C210" s="1617"/>
      <c r="D210" s="1617"/>
      <c r="E210" s="1617"/>
      <c r="F210" s="131"/>
      <c r="G210" s="131"/>
      <c r="H210" s="131"/>
      <c r="I210" s="1719" t="s">
        <v>1185</v>
      </c>
      <c r="J210" s="5" t="s">
        <v>48</v>
      </c>
      <c r="K210" s="1721" t="s">
        <v>555</v>
      </c>
      <c r="L210" s="7"/>
      <c r="M210" s="7"/>
      <c r="N210" s="372"/>
      <c r="O210" s="1515"/>
      <c r="P210" s="372"/>
      <c r="Q210" s="1516"/>
      <c r="R210" s="1516"/>
      <c r="S210" s="1516"/>
      <c r="W210" s="33"/>
      <c r="X210" s="33"/>
      <c r="Y210" s="33"/>
    </row>
    <row r="211" spans="1:25" s="9" customFormat="1" ht="50.25" customHeight="1">
      <c r="A211" s="1681" t="s">
        <v>742</v>
      </c>
      <c r="B211" s="204"/>
      <c r="C211" s="1617"/>
      <c r="D211" s="1617"/>
      <c r="E211" s="1617"/>
      <c r="F211" s="131"/>
      <c r="G211" s="131"/>
      <c r="H211" s="131"/>
      <c r="I211" s="1719"/>
      <c r="J211" s="5"/>
      <c r="K211" s="1721"/>
      <c r="L211" s="7" t="s">
        <v>31</v>
      </c>
      <c r="M211" s="7" t="s">
        <v>25</v>
      </c>
      <c r="N211" s="372">
        <v>513</v>
      </c>
      <c r="O211" s="1515">
        <v>513</v>
      </c>
      <c r="P211" s="372">
        <v>513</v>
      </c>
      <c r="Q211" s="1516"/>
      <c r="R211" s="1516"/>
      <c r="S211" s="1516"/>
      <c r="W211" s="33"/>
      <c r="X211" s="33"/>
      <c r="Y211" s="33"/>
    </row>
    <row r="212" spans="1:25" s="9" customFormat="1" ht="159" customHeight="1">
      <c r="A212" s="1681"/>
      <c r="B212" s="7" t="s">
        <v>677</v>
      </c>
      <c r="C212" s="1617"/>
      <c r="D212" s="1617"/>
      <c r="E212" s="1617"/>
      <c r="F212" s="373" t="s">
        <v>1097</v>
      </c>
      <c r="G212" s="204" t="s">
        <v>1186</v>
      </c>
      <c r="H212" s="306" t="s">
        <v>1070</v>
      </c>
      <c r="I212" s="1412" t="s">
        <v>1071</v>
      </c>
      <c r="J212" s="131" t="s">
        <v>48</v>
      </c>
      <c r="K212" s="131" t="s">
        <v>1072</v>
      </c>
      <c r="L212" s="7" t="s">
        <v>31</v>
      </c>
      <c r="M212" s="7" t="s">
        <v>25</v>
      </c>
      <c r="N212" s="127">
        <v>2525.5</v>
      </c>
      <c r="O212" s="134">
        <v>2525.5</v>
      </c>
      <c r="P212" s="127">
        <v>2909.5</v>
      </c>
      <c r="Q212" s="314"/>
      <c r="R212" s="314"/>
      <c r="S212" s="314"/>
      <c r="W212" s="33"/>
      <c r="X212" s="33"/>
      <c r="Y212" s="33"/>
    </row>
    <row r="213" spans="1:25" s="9" customFormat="1" ht="12.75" customHeight="1">
      <c r="A213" s="335" t="s">
        <v>676</v>
      </c>
      <c r="B213" s="204"/>
      <c r="C213" s="130"/>
      <c r="D213" s="130"/>
      <c r="E213" s="130"/>
      <c r="F213" s="131"/>
      <c r="G213" s="131"/>
      <c r="H213" s="131"/>
      <c r="I213" s="131"/>
      <c r="J213" s="131"/>
      <c r="K213" s="131"/>
      <c r="L213" s="204"/>
      <c r="M213" s="204"/>
      <c r="N213" s="127"/>
      <c r="O213" s="134"/>
      <c r="P213" s="127"/>
      <c r="Q213" s="314"/>
      <c r="R213" s="314"/>
      <c r="S213" s="314"/>
      <c r="W213" s="33"/>
      <c r="X213" s="33"/>
      <c r="Y213" s="33"/>
    </row>
    <row r="214" spans="1:25" s="9" customFormat="1" ht="38.25" customHeight="1">
      <c r="A214" s="203" t="s">
        <v>1183</v>
      </c>
      <c r="B214" s="204"/>
      <c r="C214" s="130"/>
      <c r="D214" s="130"/>
      <c r="E214" s="130"/>
      <c r="F214" s="131"/>
      <c r="G214" s="131"/>
      <c r="H214" s="131"/>
      <c r="I214" s="131" t="s">
        <v>77</v>
      </c>
      <c r="J214" s="131" t="s">
        <v>48</v>
      </c>
      <c r="K214" s="131" t="s">
        <v>42</v>
      </c>
      <c r="L214" s="204" t="s">
        <v>25</v>
      </c>
      <c r="M214" s="204" t="s">
        <v>19</v>
      </c>
      <c r="N214" s="127">
        <f>2478.793+5.094</f>
        <v>2483.8870000000002</v>
      </c>
      <c r="O214" s="134">
        <f>5.094+2475.905</f>
        <v>2480.9990000000003</v>
      </c>
      <c r="P214" s="127">
        <v>2549.8000000000002</v>
      </c>
      <c r="Q214" s="314">
        <f>2644.2+10.8</f>
        <v>2655</v>
      </c>
      <c r="R214" s="314">
        <f>2647.7+11.3</f>
        <v>2659</v>
      </c>
      <c r="S214" s="314">
        <f>2687.1+11.8</f>
        <v>2698.9</v>
      </c>
      <c r="W214" s="33"/>
      <c r="X214" s="33"/>
      <c r="Y214" s="33"/>
    </row>
    <row r="215" spans="1:25" s="18" customFormat="1" ht="63.75" customHeight="1">
      <c r="A215" s="374" t="s">
        <v>1521</v>
      </c>
      <c r="B215" s="375">
        <v>1034</v>
      </c>
      <c r="C215" s="21" t="s">
        <v>40</v>
      </c>
      <c r="D215" s="21" t="s">
        <v>1366</v>
      </c>
      <c r="E215" s="376" t="s">
        <v>1187</v>
      </c>
      <c r="F215" s="377" t="s">
        <v>24</v>
      </c>
      <c r="G215" s="377" t="s">
        <v>24</v>
      </c>
      <c r="H215" s="378" t="s">
        <v>24</v>
      </c>
      <c r="I215" s="379" t="s">
        <v>24</v>
      </c>
      <c r="J215" s="56" t="s">
        <v>24</v>
      </c>
      <c r="K215" s="56" t="s">
        <v>24</v>
      </c>
      <c r="L215" s="57" t="s">
        <v>31</v>
      </c>
      <c r="M215" s="58" t="s">
        <v>25</v>
      </c>
      <c r="N215" s="59">
        <f t="shared" ref="N215:P215" si="20">SUM(N216:N242)</f>
        <v>105961.44099999999</v>
      </c>
      <c r="O215" s="59">
        <f t="shared" si="20"/>
        <v>104756.924</v>
      </c>
      <c r="P215" s="59">
        <f t="shared" si="20"/>
        <v>125208.17599999999</v>
      </c>
      <c r="Q215" s="59">
        <f>SUM(Q216:Q242)</f>
        <v>13027.9</v>
      </c>
      <c r="R215" s="59">
        <f t="shared" ref="R215:S215" si="21">SUM(R216:R242)</f>
        <v>9517</v>
      </c>
      <c r="S215" s="59">
        <f t="shared" si="21"/>
        <v>10010.700000000001</v>
      </c>
      <c r="W215" s="19"/>
      <c r="X215" s="19"/>
      <c r="Y215" s="19"/>
    </row>
    <row r="216" spans="1:25" s="9" customFormat="1" ht="60">
      <c r="A216" s="302" t="s">
        <v>674</v>
      </c>
      <c r="B216" s="1434"/>
      <c r="C216" s="204" t="s">
        <v>1188</v>
      </c>
      <c r="D216" s="204" t="s">
        <v>319</v>
      </c>
      <c r="E216" s="204" t="s">
        <v>286</v>
      </c>
      <c r="F216" s="1778" t="s">
        <v>418</v>
      </c>
      <c r="G216" s="1778" t="s">
        <v>78</v>
      </c>
      <c r="H216" s="1778" t="s">
        <v>79</v>
      </c>
      <c r="I216" s="196"/>
      <c r="J216" s="196"/>
      <c r="K216" s="310"/>
      <c r="L216" s="370"/>
      <c r="M216" s="370"/>
      <c r="N216" s="198"/>
      <c r="O216" s="1507"/>
      <c r="P216" s="198"/>
      <c r="Q216" s="1517"/>
      <c r="R216" s="1517"/>
      <c r="S216" s="1517"/>
      <c r="W216" s="33"/>
      <c r="X216" s="33"/>
      <c r="Y216" s="33"/>
    </row>
    <row r="217" spans="1:25" s="9" customFormat="1" ht="36.75" customHeight="1">
      <c r="A217" s="125" t="s">
        <v>1647</v>
      </c>
      <c r="B217" s="502"/>
      <c r="C217" s="1389"/>
      <c r="D217" s="1310"/>
      <c r="E217" s="1310"/>
      <c r="F217" s="1680"/>
      <c r="G217" s="1680"/>
      <c r="H217" s="1680"/>
      <c r="I217" s="1800" t="s">
        <v>1568</v>
      </c>
      <c r="J217" s="5" t="s">
        <v>649</v>
      </c>
      <c r="K217" s="199" t="s">
        <v>555</v>
      </c>
      <c r="L217" s="7"/>
      <c r="M217" s="7"/>
      <c r="N217" s="127"/>
      <c r="O217" s="134"/>
      <c r="P217" s="127"/>
      <c r="Q217" s="127"/>
      <c r="R217" s="127"/>
      <c r="S217" s="127"/>
      <c r="W217" s="33"/>
      <c r="X217" s="33"/>
      <c r="Y217" s="33"/>
    </row>
    <row r="218" spans="1:25" s="9" customFormat="1" ht="51.75" customHeight="1">
      <c r="A218" s="128" t="s">
        <v>1671</v>
      </c>
      <c r="B218" s="502"/>
      <c r="C218" s="1389"/>
      <c r="D218" s="1389"/>
      <c r="E218" s="1389"/>
      <c r="F218" s="1680"/>
      <c r="G218" s="1680"/>
      <c r="H218" s="1680"/>
      <c r="I218" s="1800"/>
      <c r="J218" s="5"/>
      <c r="K218" s="200"/>
      <c r="L218" s="7"/>
      <c r="M218" s="7"/>
      <c r="N218" s="127"/>
      <c r="O218" s="134"/>
      <c r="P218" s="127"/>
      <c r="Q218" s="127">
        <v>11.4</v>
      </c>
      <c r="R218" s="127">
        <v>11.4</v>
      </c>
      <c r="S218" s="127">
        <v>11.4</v>
      </c>
      <c r="W218" s="33"/>
      <c r="X218" s="33"/>
      <c r="Y218" s="33"/>
    </row>
    <row r="219" spans="1:25" s="9" customFormat="1" ht="60">
      <c r="A219" s="170" t="s">
        <v>1648</v>
      </c>
      <c r="B219" s="126"/>
      <c r="C219" s="1388"/>
      <c r="D219" s="1388"/>
      <c r="E219" s="1388"/>
      <c r="F219" s="1680"/>
      <c r="G219" s="1680"/>
      <c r="H219" s="1680"/>
      <c r="I219" s="201"/>
      <c r="J219" s="1388"/>
      <c r="K219" s="201"/>
      <c r="L219" s="1446"/>
      <c r="M219" s="1446"/>
      <c r="N219" s="134"/>
      <c r="O219" s="134"/>
      <c r="P219" s="134"/>
      <c r="Q219" s="134">
        <v>385.9</v>
      </c>
      <c r="R219" s="134">
        <v>254.5</v>
      </c>
      <c r="S219" s="134">
        <v>458.9</v>
      </c>
      <c r="W219" s="33"/>
      <c r="X219" s="33"/>
      <c r="Y219" s="33"/>
    </row>
    <row r="220" spans="1:25" s="9" customFormat="1" ht="36">
      <c r="A220" s="170" t="s">
        <v>1652</v>
      </c>
      <c r="B220" s="126"/>
      <c r="C220" s="1388"/>
      <c r="D220" s="1388"/>
      <c r="E220" s="1388"/>
      <c r="F220" s="1680"/>
      <c r="G220" s="1680"/>
      <c r="H220" s="1680"/>
      <c r="I220" s="201"/>
      <c r="J220" s="1388"/>
      <c r="K220" s="201"/>
      <c r="L220" s="1446"/>
      <c r="M220" s="1446"/>
      <c r="N220" s="134"/>
      <c r="O220" s="134"/>
      <c r="P220" s="134"/>
      <c r="Q220" s="134">
        <v>11.4</v>
      </c>
      <c r="R220" s="134">
        <v>11.4</v>
      </c>
      <c r="S220" s="134">
        <v>11.4</v>
      </c>
      <c r="W220" s="33"/>
      <c r="X220" s="33"/>
      <c r="Y220" s="33"/>
    </row>
    <row r="221" spans="1:25" s="9" customFormat="1" ht="50.25" customHeight="1">
      <c r="A221" s="170" t="s">
        <v>1649</v>
      </c>
      <c r="B221" s="135"/>
      <c r="C221" s="139"/>
      <c r="D221" s="139"/>
      <c r="E221" s="139"/>
      <c r="F221" s="1680"/>
      <c r="G221" s="1680"/>
      <c r="H221" s="1680"/>
      <c r="I221" s="202"/>
      <c r="J221" s="139"/>
      <c r="K221" s="202"/>
      <c r="L221" s="1446"/>
      <c r="M221" s="1446"/>
      <c r="N221" s="141"/>
      <c r="O221" s="141"/>
      <c r="P221" s="141"/>
      <c r="Q221" s="141">
        <v>667.2</v>
      </c>
      <c r="R221" s="141">
        <v>734.4</v>
      </c>
      <c r="S221" s="141">
        <v>770.4</v>
      </c>
      <c r="W221" s="33"/>
      <c r="X221" s="33"/>
      <c r="Y221" s="33"/>
    </row>
    <row r="222" spans="1:25" s="9" customFormat="1" ht="50.25" customHeight="1">
      <c r="A222" s="170" t="s">
        <v>1653</v>
      </c>
      <c r="B222" s="1278"/>
      <c r="C222" s="1384"/>
      <c r="D222" s="1384"/>
      <c r="E222" s="1384"/>
      <c r="F222" s="1680"/>
      <c r="G222" s="1680"/>
      <c r="H222" s="1680"/>
      <c r="I222" s="1321"/>
      <c r="J222" s="1384"/>
      <c r="K222" s="1321"/>
      <c r="L222" s="1311"/>
      <c r="M222" s="1311"/>
      <c r="N222" s="1293"/>
      <c r="O222" s="1293"/>
      <c r="P222" s="1293"/>
      <c r="Q222" s="1293">
        <v>11.4</v>
      </c>
      <c r="R222" s="1293">
        <v>11.4</v>
      </c>
      <c r="S222" s="1293">
        <v>11.4</v>
      </c>
      <c r="W222" s="33"/>
      <c r="X222" s="33"/>
      <c r="Y222" s="33"/>
    </row>
    <row r="223" spans="1:25" s="9" customFormat="1" ht="50.25" customHeight="1">
      <c r="A223" s="125" t="s">
        <v>1650</v>
      </c>
      <c r="B223" s="1278"/>
      <c r="C223" s="1384"/>
      <c r="D223" s="1384"/>
      <c r="E223" s="1384"/>
      <c r="F223" s="1680"/>
      <c r="G223" s="1680"/>
      <c r="H223" s="1680"/>
      <c r="I223" s="1321"/>
      <c r="J223" s="1384" t="s">
        <v>1654</v>
      </c>
      <c r="K223" s="1321"/>
      <c r="L223" s="1311"/>
      <c r="M223" s="1311"/>
      <c r="N223" s="1293"/>
      <c r="O223" s="1293"/>
      <c r="P223" s="1293"/>
      <c r="Q223" s="1293"/>
      <c r="R223" s="1293"/>
      <c r="S223" s="1293"/>
      <c r="W223" s="33"/>
      <c r="X223" s="33"/>
      <c r="Y223" s="33"/>
    </row>
    <row r="224" spans="1:25" s="9" customFormat="1" ht="39" customHeight="1">
      <c r="A224" s="170" t="s">
        <v>1651</v>
      </c>
      <c r="B224" s="126"/>
      <c r="C224" s="1388"/>
      <c r="D224" s="1388"/>
      <c r="E224" s="1388"/>
      <c r="F224" s="1680"/>
      <c r="G224" s="1680"/>
      <c r="H224" s="1680"/>
      <c r="I224" s="201"/>
      <c r="J224" s="1388"/>
      <c r="K224" s="201"/>
      <c r="L224" s="1446"/>
      <c r="M224" s="1446"/>
      <c r="N224" s="134"/>
      <c r="O224" s="134"/>
      <c r="P224" s="134"/>
      <c r="Q224" s="134">
        <v>1405.1</v>
      </c>
      <c r="R224" s="134">
        <v>1014.6</v>
      </c>
      <c r="S224" s="134">
        <v>1016.6</v>
      </c>
      <c r="W224" s="33"/>
      <c r="X224" s="33"/>
      <c r="Y224" s="33"/>
    </row>
    <row r="225" spans="1:25" s="9" customFormat="1" ht="24" customHeight="1">
      <c r="A225" s="125" t="s">
        <v>1672</v>
      </c>
      <c r="B225" s="204"/>
      <c r="C225" s="204"/>
      <c r="D225" s="204"/>
      <c r="E225" s="204"/>
      <c r="F225" s="1759"/>
      <c r="G225" s="1759"/>
      <c r="H225" s="1759"/>
      <c r="I225" s="1719" t="s">
        <v>1185</v>
      </c>
      <c r="J225" s="5" t="s">
        <v>48</v>
      </c>
      <c r="K225" s="6" t="s">
        <v>555</v>
      </c>
      <c r="L225" s="204"/>
      <c r="M225" s="204"/>
      <c r="N225" s="127"/>
      <c r="O225" s="134"/>
      <c r="P225" s="127"/>
      <c r="Q225" s="1518"/>
      <c r="R225" s="1518"/>
      <c r="S225" s="1518"/>
      <c r="W225" s="33"/>
      <c r="X225" s="33"/>
      <c r="Y225" s="33"/>
    </row>
    <row r="226" spans="1:25" s="9" customFormat="1" ht="38.25" customHeight="1">
      <c r="A226" s="128"/>
      <c r="B226" s="204"/>
      <c r="C226" s="204"/>
      <c r="D226" s="204"/>
      <c r="E226" s="204"/>
      <c r="F226" s="1759"/>
      <c r="G226" s="1759"/>
      <c r="H226" s="1759"/>
      <c r="I226" s="1719"/>
      <c r="J226" s="5"/>
      <c r="K226" s="6"/>
      <c r="L226" s="204"/>
      <c r="M226" s="204"/>
      <c r="N226" s="127"/>
      <c r="O226" s="134"/>
      <c r="P226" s="127"/>
      <c r="Q226" s="1518"/>
      <c r="R226" s="1518"/>
      <c r="S226" s="1518"/>
      <c r="W226" s="33"/>
      <c r="X226" s="33"/>
      <c r="Y226" s="33"/>
    </row>
    <row r="227" spans="1:25" s="9" customFormat="1" ht="113.25" customHeight="1">
      <c r="A227" s="128" t="s">
        <v>1673</v>
      </c>
      <c r="B227" s="204"/>
      <c r="C227" s="204"/>
      <c r="D227" s="204"/>
      <c r="E227" s="204"/>
      <c r="F227" s="1759"/>
      <c r="G227" s="1759"/>
      <c r="H227" s="1759"/>
      <c r="I227" s="5" t="s">
        <v>445</v>
      </c>
      <c r="J227" s="5" t="s">
        <v>48</v>
      </c>
      <c r="K227" s="6" t="s">
        <v>51</v>
      </c>
      <c r="L227" s="204"/>
      <c r="M227" s="204"/>
      <c r="N227" s="127">
        <f>26404.658+17.482</f>
        <v>26422.14</v>
      </c>
      <c r="O227" s="134">
        <f>26404.658+17.482</f>
        <v>26422.14</v>
      </c>
      <c r="P227" s="127">
        <v>32748.5</v>
      </c>
      <c r="Q227" s="1518">
        <f>100+273.5+8560.1+1601.9</f>
        <v>10535.5</v>
      </c>
      <c r="R227" s="1518">
        <f>100+273.5+7105.8</f>
        <v>7479.3</v>
      </c>
      <c r="S227" s="1518">
        <f>100+273.5+7357.1</f>
        <v>7730.6</v>
      </c>
      <c r="W227" s="33"/>
      <c r="X227" s="33"/>
      <c r="Y227" s="33"/>
    </row>
    <row r="228" spans="1:25" s="9" customFormat="1" ht="135" customHeight="1">
      <c r="A228" s="128"/>
      <c r="B228" s="204"/>
      <c r="C228" s="204"/>
      <c r="D228" s="204"/>
      <c r="E228" s="204"/>
      <c r="F228" s="204"/>
      <c r="G228" s="204"/>
      <c r="H228" s="204"/>
      <c r="I228" s="5" t="s">
        <v>1674</v>
      </c>
      <c r="J228" s="5" t="s">
        <v>48</v>
      </c>
      <c r="K228" s="6" t="s">
        <v>279</v>
      </c>
      <c r="L228" s="204"/>
      <c r="M228" s="204"/>
      <c r="N228" s="127"/>
      <c r="O228" s="134"/>
      <c r="P228" s="127"/>
      <c r="Q228" s="1518"/>
      <c r="R228" s="1518"/>
      <c r="S228" s="1518"/>
      <c r="W228" s="33"/>
      <c r="X228" s="33"/>
      <c r="Y228" s="33"/>
    </row>
    <row r="229" spans="1:25" s="9" customFormat="1" ht="37.5" customHeight="1">
      <c r="A229" s="128"/>
      <c r="B229" s="204"/>
      <c r="C229" s="204"/>
      <c r="D229" s="204"/>
      <c r="E229" s="204"/>
      <c r="F229" s="204"/>
      <c r="G229" s="204"/>
      <c r="H229" s="204"/>
      <c r="I229" s="5" t="s">
        <v>60</v>
      </c>
      <c r="J229" s="5" t="s">
        <v>48</v>
      </c>
      <c r="K229" s="6" t="s">
        <v>51</v>
      </c>
      <c r="L229" s="204"/>
      <c r="M229" s="204"/>
      <c r="N229" s="127"/>
      <c r="O229" s="134"/>
      <c r="P229" s="127"/>
      <c r="Q229" s="1518"/>
      <c r="R229" s="1518"/>
      <c r="S229" s="1518"/>
      <c r="W229" s="33"/>
      <c r="X229" s="33"/>
      <c r="Y229" s="33"/>
    </row>
    <row r="230" spans="1:25" s="9" customFormat="1" ht="41.25" customHeight="1">
      <c r="A230" s="128"/>
      <c r="B230" s="204"/>
      <c r="C230" s="204"/>
      <c r="D230" s="204"/>
      <c r="E230" s="204"/>
      <c r="F230" s="204"/>
      <c r="G230" s="204"/>
      <c r="H230" s="204"/>
      <c r="I230" s="5" t="s">
        <v>304</v>
      </c>
      <c r="J230" s="5" t="s">
        <v>48</v>
      </c>
      <c r="K230" s="6" t="s">
        <v>305</v>
      </c>
      <c r="L230" s="204"/>
      <c r="M230" s="204"/>
      <c r="N230" s="127"/>
      <c r="O230" s="134"/>
      <c r="P230" s="127"/>
      <c r="Q230" s="1518"/>
      <c r="R230" s="1518"/>
      <c r="S230" s="1518"/>
      <c r="W230" s="33"/>
      <c r="X230" s="33"/>
      <c r="Y230" s="33"/>
    </row>
    <row r="231" spans="1:25" s="9" customFormat="1" ht="66.75" customHeight="1">
      <c r="A231" s="128"/>
      <c r="B231" s="204"/>
      <c r="C231" s="204"/>
      <c r="D231" s="204"/>
      <c r="E231" s="204"/>
      <c r="F231" s="204"/>
      <c r="G231" s="204"/>
      <c r="H231" s="204"/>
      <c r="I231" s="200" t="s">
        <v>280</v>
      </c>
      <c r="J231" s="5" t="s">
        <v>48</v>
      </c>
      <c r="K231" s="6" t="s">
        <v>281</v>
      </c>
      <c r="L231" s="204"/>
      <c r="M231" s="204"/>
      <c r="N231" s="127"/>
      <c r="O231" s="134"/>
      <c r="P231" s="127"/>
      <c r="Q231" s="1518"/>
      <c r="R231" s="1518"/>
      <c r="S231" s="1518"/>
      <c r="W231" s="33"/>
      <c r="X231" s="33"/>
      <c r="Y231" s="33"/>
    </row>
    <row r="232" spans="1:25" s="9" customFormat="1" ht="163.5" customHeight="1">
      <c r="A232" s="128"/>
      <c r="B232" s="7" t="s">
        <v>677</v>
      </c>
      <c r="C232" s="204"/>
      <c r="D232" s="204"/>
      <c r="E232" s="204"/>
      <c r="F232" s="373" t="s">
        <v>1097</v>
      </c>
      <c r="G232" s="204" t="s">
        <v>1186</v>
      </c>
      <c r="H232" s="306" t="s">
        <v>1189</v>
      </c>
      <c r="I232" s="1412" t="s">
        <v>1071</v>
      </c>
      <c r="J232" s="1437" t="s">
        <v>48</v>
      </c>
      <c r="K232" s="131" t="s">
        <v>1072</v>
      </c>
      <c r="L232" s="204"/>
      <c r="M232" s="204"/>
      <c r="N232" s="127">
        <f>69928.4+7014.3</f>
        <v>76942.7</v>
      </c>
      <c r="O232" s="134">
        <v>76123.05</v>
      </c>
      <c r="P232" s="127">
        <v>88362.2</v>
      </c>
      <c r="Q232" s="1518"/>
      <c r="R232" s="1518"/>
      <c r="S232" s="1518"/>
      <c r="W232" s="33"/>
      <c r="X232" s="33"/>
      <c r="Y232" s="33"/>
    </row>
    <row r="233" spans="1:25" s="9" customFormat="1" ht="137.25" customHeight="1">
      <c r="A233" s="128"/>
      <c r="B233" s="7" t="s">
        <v>678</v>
      </c>
      <c r="C233" s="128"/>
      <c r="D233" s="128"/>
      <c r="E233" s="128"/>
      <c r="F233" s="373" t="s">
        <v>1097</v>
      </c>
      <c r="G233" s="204" t="s">
        <v>459</v>
      </c>
      <c r="H233" s="306" t="s">
        <v>1189</v>
      </c>
      <c r="I233" s="306" t="s">
        <v>1190</v>
      </c>
      <c r="J233" s="306" t="s">
        <v>48</v>
      </c>
      <c r="K233" s="306" t="s">
        <v>893</v>
      </c>
      <c r="L233" s="204"/>
      <c r="M233" s="204"/>
      <c r="N233" s="127">
        <f>1787.459+126.104</f>
        <v>1913.5630000000001</v>
      </c>
      <c r="O233" s="134">
        <f>1528.696</f>
        <v>1528.6959999999999</v>
      </c>
      <c r="P233" s="127">
        <v>1818.4</v>
      </c>
      <c r="Q233" s="1518"/>
      <c r="R233" s="1518"/>
      <c r="S233" s="1518"/>
      <c r="W233" s="33"/>
      <c r="X233" s="33"/>
      <c r="Y233" s="33"/>
    </row>
    <row r="234" spans="1:25" s="9" customFormat="1" ht="12.75" customHeight="1">
      <c r="A234" s="380"/>
      <c r="B234" s="381"/>
      <c r="C234" s="380"/>
      <c r="D234" s="380"/>
      <c r="E234" s="380"/>
      <c r="F234" s="382"/>
      <c r="G234" s="1441"/>
      <c r="H234" s="1435"/>
      <c r="I234" s="1780" t="s">
        <v>1093</v>
      </c>
      <c r="J234" s="1780" t="s">
        <v>48</v>
      </c>
      <c r="K234" s="1780" t="s">
        <v>1094</v>
      </c>
      <c r="L234" s="1441"/>
      <c r="M234" s="1441"/>
      <c r="N234" s="383"/>
      <c r="O234" s="383"/>
      <c r="P234" s="383">
        <v>165.77600000000001</v>
      </c>
      <c r="Q234" s="1519"/>
      <c r="R234" s="1519"/>
      <c r="S234" s="1519"/>
      <c r="W234" s="33"/>
      <c r="X234" s="33"/>
      <c r="Y234" s="33"/>
    </row>
    <row r="235" spans="1:25" s="9" customFormat="1" ht="45" customHeight="1">
      <c r="A235" s="126"/>
      <c r="B235" s="1446" t="s">
        <v>1088</v>
      </c>
      <c r="C235" s="126"/>
      <c r="D235" s="126"/>
      <c r="E235" s="126"/>
      <c r="F235" s="1779" t="s">
        <v>1097</v>
      </c>
      <c r="G235" s="1387" t="s">
        <v>1098</v>
      </c>
      <c r="H235" s="306" t="s">
        <v>1189</v>
      </c>
      <c r="I235" s="1780"/>
      <c r="J235" s="1780"/>
      <c r="K235" s="1780"/>
      <c r="L235" s="1387"/>
      <c r="M235" s="1387"/>
      <c r="N235" s="134">
        <v>0</v>
      </c>
      <c r="O235" s="134">
        <v>0</v>
      </c>
      <c r="P235" s="134">
        <v>108.35</v>
      </c>
      <c r="Q235" s="1520"/>
      <c r="R235" s="1520"/>
      <c r="S235" s="1520"/>
      <c r="W235" s="33"/>
      <c r="X235" s="33"/>
      <c r="Y235" s="33"/>
    </row>
    <row r="236" spans="1:25" s="9" customFormat="1" ht="45" customHeight="1">
      <c r="A236" s="126"/>
      <c r="B236" s="1446" t="s">
        <v>1089</v>
      </c>
      <c r="C236" s="126"/>
      <c r="D236" s="126"/>
      <c r="E236" s="126"/>
      <c r="F236" s="1779"/>
      <c r="G236" s="1387"/>
      <c r="H236" s="1396"/>
      <c r="I236" s="1780"/>
      <c r="J236" s="1396"/>
      <c r="K236" s="1396"/>
      <c r="L236" s="1387"/>
      <c r="M236" s="1387"/>
      <c r="N236" s="134"/>
      <c r="O236" s="134"/>
      <c r="P236" s="134">
        <v>876.65</v>
      </c>
      <c r="Q236" s="1520"/>
      <c r="R236" s="1520"/>
      <c r="S236" s="1520"/>
      <c r="W236" s="33"/>
      <c r="X236" s="33"/>
      <c r="Y236" s="33"/>
    </row>
    <row r="237" spans="1:25" s="9" customFormat="1" ht="12.75" customHeight="1">
      <c r="A237" s="125" t="s">
        <v>679</v>
      </c>
      <c r="B237" s="204"/>
      <c r="C237" s="204"/>
      <c r="D237" s="204"/>
      <c r="E237" s="204"/>
      <c r="F237" s="204"/>
      <c r="G237" s="204"/>
      <c r="H237" s="204"/>
      <c r="I237" s="5"/>
      <c r="J237" s="5"/>
      <c r="K237" s="6"/>
      <c r="L237" s="204"/>
      <c r="M237" s="204"/>
      <c r="N237" s="127"/>
      <c r="O237" s="134"/>
      <c r="P237" s="127"/>
      <c r="Q237" s="1518"/>
      <c r="R237" s="1518"/>
      <c r="S237" s="1518"/>
      <c r="W237" s="33"/>
      <c r="X237" s="33"/>
      <c r="Y237" s="33"/>
    </row>
    <row r="238" spans="1:25" s="9" customFormat="1" ht="13.5" customHeight="1">
      <c r="A238" s="1471" t="s">
        <v>862</v>
      </c>
      <c r="B238" s="180"/>
      <c r="C238" s="98"/>
      <c r="D238" s="98"/>
      <c r="E238" s="98"/>
      <c r="F238" s="384"/>
      <c r="G238" s="384"/>
      <c r="H238" s="384"/>
      <c r="I238" s="384"/>
      <c r="J238" s="384"/>
      <c r="K238" s="384"/>
      <c r="L238" s="180"/>
      <c r="M238" s="180"/>
      <c r="N238" s="185"/>
      <c r="O238" s="953"/>
      <c r="P238" s="185"/>
      <c r="Q238" s="185"/>
      <c r="R238" s="185"/>
      <c r="S238" s="185"/>
      <c r="W238" s="33"/>
      <c r="X238" s="33"/>
      <c r="Y238" s="33"/>
    </row>
    <row r="239" spans="1:25" s="9" customFormat="1" ht="52.5" customHeight="1">
      <c r="A239" s="1471"/>
      <c r="B239" s="180" t="s">
        <v>1675</v>
      </c>
      <c r="C239" s="98"/>
      <c r="D239" s="98"/>
      <c r="E239" s="98"/>
      <c r="F239" s="1323" t="s">
        <v>315</v>
      </c>
      <c r="G239" s="1475" t="s">
        <v>1370</v>
      </c>
      <c r="H239" s="1475" t="s">
        <v>1371</v>
      </c>
      <c r="I239" s="1338" t="s">
        <v>1091</v>
      </c>
      <c r="J239" s="1421" t="s">
        <v>48</v>
      </c>
      <c r="K239" s="1390" t="s">
        <v>1092</v>
      </c>
      <c r="L239" s="180"/>
      <c r="M239" s="180"/>
      <c r="N239" s="185">
        <v>38.395000000000003</v>
      </c>
      <c r="O239" s="953">
        <v>38.395000000000003</v>
      </c>
      <c r="P239" s="185">
        <v>524.29999999999995</v>
      </c>
      <c r="Q239" s="185"/>
      <c r="R239" s="185"/>
      <c r="S239" s="185"/>
      <c r="W239" s="33"/>
      <c r="X239" s="33"/>
      <c r="Y239" s="33"/>
    </row>
    <row r="240" spans="1:25" s="9" customFormat="1" ht="51" customHeight="1">
      <c r="A240" s="1328"/>
      <c r="B240" s="277" t="s">
        <v>1676</v>
      </c>
      <c r="C240" s="1421"/>
      <c r="D240" s="1421"/>
      <c r="E240" s="1421"/>
      <c r="F240" s="1421"/>
      <c r="G240" s="1421"/>
      <c r="H240" s="1421"/>
      <c r="I240" s="387" t="s">
        <v>1502</v>
      </c>
      <c r="J240" s="1421" t="s">
        <v>48</v>
      </c>
      <c r="K240" s="1390" t="s">
        <v>1503</v>
      </c>
      <c r="L240" s="277"/>
      <c r="M240" s="277"/>
      <c r="N240" s="704">
        <v>154.99700000000001</v>
      </c>
      <c r="O240" s="704">
        <v>154.99700000000001</v>
      </c>
      <c r="P240" s="704">
        <v>204</v>
      </c>
      <c r="Q240" s="704"/>
      <c r="R240" s="704"/>
      <c r="S240" s="704"/>
      <c r="W240" s="33"/>
      <c r="X240" s="33"/>
      <c r="Y240" s="33"/>
    </row>
    <row r="241" spans="1:25" s="9" customFormat="1" ht="53.25" customHeight="1">
      <c r="A241" s="1328"/>
      <c r="B241" s="277" t="s">
        <v>942</v>
      </c>
      <c r="C241" s="276"/>
      <c r="D241" s="276"/>
      <c r="E241" s="276"/>
      <c r="F241" s="1459"/>
      <c r="G241" s="1421"/>
      <c r="H241" s="1421"/>
      <c r="I241" s="1338" t="s">
        <v>1559</v>
      </c>
      <c r="J241" s="1421" t="s">
        <v>48</v>
      </c>
      <c r="K241" s="1390" t="s">
        <v>1546</v>
      </c>
      <c r="L241" s="277"/>
      <c r="M241" s="277"/>
      <c r="N241" s="185">
        <v>410.89600000000002</v>
      </c>
      <c r="O241" s="953">
        <v>410.89600000000002</v>
      </c>
      <c r="P241" s="704">
        <v>400</v>
      </c>
      <c r="Q241" s="704"/>
      <c r="R241" s="704"/>
      <c r="S241" s="704"/>
      <c r="W241" s="33"/>
      <c r="X241" s="33"/>
      <c r="Y241" s="33"/>
    </row>
    <row r="242" spans="1:25" s="9" customFormat="1" ht="48">
      <c r="A242" s="1336"/>
      <c r="B242" s="1288" t="s">
        <v>822</v>
      </c>
      <c r="C242" s="1287"/>
      <c r="D242" s="1287"/>
      <c r="E242" s="1287"/>
      <c r="F242" s="1407"/>
      <c r="G242" s="1485"/>
      <c r="H242" s="1485"/>
      <c r="I242" s="1337" t="s">
        <v>1016</v>
      </c>
      <c r="J242" s="1486" t="s">
        <v>48</v>
      </c>
      <c r="K242" s="1276" t="s">
        <v>1017</v>
      </c>
      <c r="L242" s="1288"/>
      <c r="M242" s="1288"/>
      <c r="N242" s="1289">
        <v>78.75</v>
      </c>
      <c r="O242" s="1289">
        <v>78.75</v>
      </c>
      <c r="P242" s="1289">
        <v>0</v>
      </c>
      <c r="Q242" s="1289"/>
      <c r="R242" s="1289"/>
      <c r="S242" s="1289"/>
      <c r="W242" s="33"/>
      <c r="X242" s="33"/>
      <c r="Y242" s="33"/>
    </row>
    <row r="243" spans="1:25" s="18" customFormat="1" ht="53.25" hidden="1" customHeight="1">
      <c r="A243" s="1332" t="s">
        <v>349</v>
      </c>
      <c r="B243" s="971">
        <v>1035</v>
      </c>
      <c r="C243" s="1333" t="s">
        <v>40</v>
      </c>
      <c r="D243" s="1421" t="s">
        <v>249</v>
      </c>
      <c r="E243" s="1215" t="s">
        <v>41</v>
      </c>
      <c r="F243" s="1334" t="s">
        <v>24</v>
      </c>
      <c r="G243" s="396" t="s">
        <v>24</v>
      </c>
      <c r="H243" s="1334" t="s">
        <v>24</v>
      </c>
      <c r="I243" s="1238" t="s">
        <v>250</v>
      </c>
      <c r="J243" s="1335" t="s">
        <v>146</v>
      </c>
      <c r="K243" s="1335" t="s">
        <v>240</v>
      </c>
      <c r="L243" s="1334" t="s">
        <v>31</v>
      </c>
      <c r="M243" s="1334" t="s">
        <v>25</v>
      </c>
      <c r="N243" s="397">
        <v>0</v>
      </c>
      <c r="O243" s="1521"/>
      <c r="P243" s="397">
        <v>0</v>
      </c>
      <c r="Q243" s="1521">
        <v>0</v>
      </c>
      <c r="R243" s="397">
        <v>0</v>
      </c>
      <c r="S243" s="1521">
        <v>0</v>
      </c>
      <c r="W243" s="19"/>
      <c r="X243" s="19"/>
      <c r="Y243" s="19"/>
    </row>
    <row r="244" spans="1:25" s="18" customFormat="1" ht="53.25" hidden="1" customHeight="1">
      <c r="A244" s="1774" t="s">
        <v>437</v>
      </c>
      <c r="B244" s="398">
        <v>1036</v>
      </c>
      <c r="C244" s="1404"/>
      <c r="D244" s="399"/>
      <c r="E244" s="1405"/>
      <c r="F244" s="400"/>
      <c r="G244" s="401"/>
      <c r="H244" s="400"/>
      <c r="I244" s="402"/>
      <c r="J244" s="1279"/>
      <c r="K244" s="1280"/>
      <c r="L244" s="400"/>
      <c r="M244" s="400"/>
      <c r="N244" s="403">
        <f t="shared" ref="N244" si="22">SUM(N245:N246)</f>
        <v>0</v>
      </c>
      <c r="O244" s="1522"/>
      <c r="P244" s="403">
        <f t="shared" ref="P244:Q244" si="23">SUM(P245:P246)</f>
        <v>0</v>
      </c>
      <c r="Q244" s="1522">
        <f t="shared" si="23"/>
        <v>0</v>
      </c>
      <c r="R244" s="403">
        <f t="shared" ref="R244:S244" si="24">SUM(R245:R246)</f>
        <v>0</v>
      </c>
      <c r="S244" s="1522">
        <f t="shared" si="24"/>
        <v>0</v>
      </c>
      <c r="W244" s="19"/>
      <c r="X244" s="19"/>
      <c r="Y244" s="19"/>
    </row>
    <row r="245" spans="1:25" s="18" customFormat="1" ht="53.25" hidden="1" customHeight="1">
      <c r="A245" s="1775"/>
      <c r="B245" s="404"/>
      <c r="C245" s="405"/>
      <c r="D245" s="1216"/>
      <c r="E245" s="1214"/>
      <c r="F245" s="1216"/>
      <c r="G245" s="1214"/>
      <c r="H245" s="1216"/>
      <c r="I245" s="1776" t="s">
        <v>545</v>
      </c>
      <c r="J245" s="1704" t="s">
        <v>54</v>
      </c>
      <c r="K245" s="1704" t="s">
        <v>443</v>
      </c>
      <c r="L245" s="406"/>
      <c r="M245" s="406"/>
      <c r="N245" s="407"/>
      <c r="O245" s="1523"/>
      <c r="P245" s="407"/>
      <c r="Q245" s="1523"/>
      <c r="R245" s="407"/>
      <c r="S245" s="1523"/>
      <c r="W245" s="19"/>
      <c r="X245" s="19"/>
      <c r="Y245" s="19"/>
    </row>
    <row r="246" spans="1:25" s="18" customFormat="1" ht="53.25" hidden="1" customHeight="1">
      <c r="A246" s="1775"/>
      <c r="B246" s="1422"/>
      <c r="C246" s="394"/>
      <c r="D246" s="1423"/>
      <c r="E246" s="1215"/>
      <c r="F246" s="1423"/>
      <c r="G246" s="1215"/>
      <c r="H246" s="1423"/>
      <c r="I246" s="1777"/>
      <c r="J246" s="1704"/>
      <c r="K246" s="1704"/>
      <c r="L246" s="258" t="s">
        <v>31</v>
      </c>
      <c r="M246" s="258" t="s">
        <v>25</v>
      </c>
      <c r="N246" s="391">
        <v>0</v>
      </c>
      <c r="O246" s="462"/>
      <c r="P246" s="391">
        <v>0</v>
      </c>
      <c r="Q246" s="462">
        <v>0</v>
      </c>
      <c r="R246" s="391">
        <v>0</v>
      </c>
      <c r="S246" s="462">
        <v>0</v>
      </c>
      <c r="W246" s="19"/>
      <c r="X246" s="19"/>
      <c r="Y246" s="19"/>
    </row>
    <row r="247" spans="1:25" s="18" customFormat="1" ht="66.75" customHeight="1">
      <c r="A247" s="408" t="s">
        <v>350</v>
      </c>
      <c r="B247" s="409">
        <v>1040</v>
      </c>
      <c r="C247" s="21" t="s">
        <v>40</v>
      </c>
      <c r="D247" s="21" t="s">
        <v>1191</v>
      </c>
      <c r="E247" s="376" t="s">
        <v>1187</v>
      </c>
      <c r="F247" s="409"/>
      <c r="G247" s="409"/>
      <c r="H247" s="409"/>
      <c r="I247" s="410"/>
      <c r="J247" s="410"/>
      <c r="K247" s="411"/>
      <c r="L247" s="105" t="s">
        <v>29</v>
      </c>
      <c r="M247" s="105" t="s">
        <v>26</v>
      </c>
      <c r="N247" s="412">
        <f>SUM(N248:N251)</f>
        <v>2020.952</v>
      </c>
      <c r="O247" s="412">
        <f t="shared" ref="O247:P247" si="25">SUM(O248:O251)</f>
        <v>1879.6020000000001</v>
      </c>
      <c r="P247" s="412">
        <f t="shared" si="25"/>
        <v>1208.413</v>
      </c>
      <c r="Q247" s="412">
        <f t="shared" ref="Q247" si="26">SUM(Q248:Q251)</f>
        <v>5294.8</v>
      </c>
      <c r="R247" s="412">
        <f t="shared" ref="R247" si="27">SUM(R248:R251)</f>
        <v>743.4</v>
      </c>
      <c r="S247" s="413">
        <f t="shared" ref="S247" si="28">SUM(S248:S251)</f>
        <v>743.4</v>
      </c>
      <c r="W247" s="19"/>
      <c r="X247" s="19"/>
      <c r="Y247" s="19"/>
    </row>
    <row r="248" spans="1:25" s="9" customFormat="1" ht="12" customHeight="1">
      <c r="A248" s="414" t="s">
        <v>645</v>
      </c>
      <c r="B248" s="415"/>
      <c r="C248" s="1634" t="s">
        <v>399</v>
      </c>
      <c r="D248" s="1634" t="s">
        <v>1367</v>
      </c>
      <c r="E248" s="1634" t="s">
        <v>63</v>
      </c>
      <c r="F248" s="1852" t="s">
        <v>1373</v>
      </c>
      <c r="G248" s="1850" t="s">
        <v>1359</v>
      </c>
      <c r="H248" s="1848" t="s">
        <v>1369</v>
      </c>
      <c r="I248" s="1428"/>
      <c r="J248" s="1464"/>
      <c r="K248" s="416"/>
      <c r="L248" s="1436"/>
      <c r="M248" s="1436"/>
      <c r="N248" s="40"/>
      <c r="O248" s="40"/>
      <c r="P248" s="40"/>
      <c r="Q248" s="40"/>
      <c r="R248" s="40"/>
      <c r="S248" s="40"/>
      <c r="W248" s="33"/>
      <c r="X248" s="33"/>
      <c r="Y248" s="33"/>
    </row>
    <row r="249" spans="1:25" s="9" customFormat="1" ht="76.5" customHeight="1">
      <c r="A249" s="417" t="s">
        <v>743</v>
      </c>
      <c r="B249" s="249"/>
      <c r="C249" s="1685"/>
      <c r="D249" s="1685"/>
      <c r="E249" s="1685"/>
      <c r="F249" s="1853"/>
      <c r="G249" s="1851"/>
      <c r="H249" s="1849"/>
      <c r="I249" s="1417" t="s">
        <v>1565</v>
      </c>
      <c r="J249" s="1466" t="s">
        <v>641</v>
      </c>
      <c r="K249" s="418" t="s">
        <v>555</v>
      </c>
      <c r="L249" s="1477"/>
      <c r="M249" s="1477"/>
      <c r="N249" s="419"/>
      <c r="O249" s="419"/>
      <c r="P249" s="419"/>
      <c r="Q249" s="419"/>
      <c r="R249" s="419"/>
      <c r="S249" s="419"/>
      <c r="W249" s="33"/>
      <c r="X249" s="33"/>
      <c r="Y249" s="33"/>
    </row>
    <row r="250" spans="1:25" s="9" customFormat="1" ht="85.5" customHeight="1">
      <c r="A250" s="233" t="s">
        <v>744</v>
      </c>
      <c r="B250" s="249"/>
      <c r="C250" s="1685"/>
      <c r="D250" s="1685"/>
      <c r="E250" s="1685"/>
      <c r="F250" s="1853"/>
      <c r="G250" s="100"/>
      <c r="H250" s="101"/>
      <c r="I250" s="1417" t="s">
        <v>400</v>
      </c>
      <c r="J250" s="1466" t="s">
        <v>401</v>
      </c>
      <c r="K250" s="418" t="s">
        <v>59</v>
      </c>
      <c r="L250" s="1477"/>
      <c r="M250" s="1477"/>
      <c r="N250" s="419">
        <v>2020.952</v>
      </c>
      <c r="O250" s="419">
        <v>1879.6020000000001</v>
      </c>
      <c r="P250" s="419">
        <f>860+348.413</f>
        <v>1208.413</v>
      </c>
      <c r="Q250" s="419">
        <v>5294.8</v>
      </c>
      <c r="R250" s="419">
        <v>743.4</v>
      </c>
      <c r="S250" s="419">
        <v>743.4</v>
      </c>
      <c r="W250" s="33"/>
      <c r="X250" s="33"/>
      <c r="Y250" s="33"/>
    </row>
    <row r="251" spans="1:25" s="9" customFormat="1" ht="113.25" customHeight="1">
      <c r="A251" s="420"/>
      <c r="B251" s="421" t="s">
        <v>1085</v>
      </c>
      <c r="C251" s="1479"/>
      <c r="D251" s="1479"/>
      <c r="E251" s="1479"/>
      <c r="F251" s="1414" t="s">
        <v>1607</v>
      </c>
      <c r="G251" s="1484" t="s">
        <v>1608</v>
      </c>
      <c r="H251" s="422" t="s">
        <v>1189</v>
      </c>
      <c r="I251" s="1465" t="s">
        <v>1605</v>
      </c>
      <c r="J251" s="1465" t="s">
        <v>48</v>
      </c>
      <c r="K251" s="423" t="s">
        <v>1606</v>
      </c>
      <c r="L251" s="1479"/>
      <c r="M251" s="1479"/>
      <c r="N251" s="424"/>
      <c r="O251" s="424"/>
      <c r="P251" s="424"/>
      <c r="Q251" s="424"/>
      <c r="R251" s="424"/>
      <c r="S251" s="424"/>
      <c r="W251" s="33"/>
      <c r="X251" s="33"/>
      <c r="Y251" s="33"/>
    </row>
    <row r="252" spans="1:25" s="18" customFormat="1" ht="60">
      <c r="A252" s="10" t="s">
        <v>1192</v>
      </c>
      <c r="B252" s="347">
        <v>1041</v>
      </c>
      <c r="C252" s="11" t="s">
        <v>40</v>
      </c>
      <c r="D252" s="11" t="s">
        <v>1193</v>
      </c>
      <c r="E252" s="13" t="s">
        <v>1159</v>
      </c>
      <c r="F252" s="10"/>
      <c r="G252" s="10"/>
      <c r="H252" s="10"/>
      <c r="I252" s="14"/>
      <c r="J252" s="14"/>
      <c r="K252" s="14"/>
      <c r="L252" s="15" t="s">
        <v>29</v>
      </c>
      <c r="M252" s="16" t="s">
        <v>27</v>
      </c>
      <c r="N252" s="17">
        <f>SUM(N253:N261)</f>
        <v>146.61199999999999</v>
      </c>
      <c r="O252" s="1501">
        <f t="shared" ref="O252:S252" si="29">SUM(O253:O261)</f>
        <v>146.61199999999999</v>
      </c>
      <c r="P252" s="17">
        <f>SUM(P253:P261)</f>
        <v>512</v>
      </c>
      <c r="Q252" s="17">
        <f t="shared" si="29"/>
        <v>469</v>
      </c>
      <c r="R252" s="17">
        <f t="shared" si="29"/>
        <v>0</v>
      </c>
      <c r="S252" s="17">
        <f t="shared" si="29"/>
        <v>0</v>
      </c>
      <c r="W252" s="19"/>
      <c r="X252" s="19"/>
      <c r="Y252" s="19"/>
    </row>
    <row r="253" spans="1:25" s="9" customFormat="1" ht="12" customHeight="1">
      <c r="A253" s="425" t="s">
        <v>644</v>
      </c>
      <c r="B253" s="426"/>
      <c r="C253" s="1771"/>
      <c r="D253" s="1438"/>
      <c r="E253" s="1438"/>
      <c r="F253" s="427" t="s">
        <v>24</v>
      </c>
      <c r="G253" s="427" t="s">
        <v>24</v>
      </c>
      <c r="H253" s="428" t="s">
        <v>24</v>
      </c>
      <c r="I253" s="429"/>
      <c r="J253" s="430"/>
      <c r="K253" s="430"/>
      <c r="L253" s="197"/>
      <c r="M253" s="370"/>
      <c r="N253" s="198"/>
      <c r="O253" s="1507"/>
      <c r="P253" s="198"/>
      <c r="Q253" s="198"/>
      <c r="R253" s="198"/>
      <c r="S253" s="198"/>
      <c r="W253" s="33"/>
      <c r="X253" s="33"/>
      <c r="Y253" s="33"/>
    </row>
    <row r="254" spans="1:25" s="9" customFormat="1" ht="24">
      <c r="A254" s="431" t="s">
        <v>745</v>
      </c>
      <c r="B254" s="284"/>
      <c r="C254" s="1772"/>
      <c r="D254" s="1439"/>
      <c r="E254" s="1439"/>
      <c r="F254" s="215"/>
      <c r="G254" s="215"/>
      <c r="H254" s="432"/>
      <c r="I254" s="1773" t="s">
        <v>1194</v>
      </c>
      <c r="J254" s="1719" t="s">
        <v>48</v>
      </c>
      <c r="K254" s="1719" t="s">
        <v>849</v>
      </c>
      <c r="L254" s="7"/>
      <c r="M254" s="204"/>
      <c r="N254" s="127"/>
      <c r="O254" s="134"/>
      <c r="P254" s="127"/>
      <c r="Q254" s="127"/>
      <c r="R254" s="127"/>
      <c r="S254" s="127"/>
      <c r="W254" s="33"/>
      <c r="X254" s="33"/>
      <c r="Y254" s="33"/>
    </row>
    <row r="255" spans="1:25" s="9" customFormat="1" ht="30" customHeight="1">
      <c r="A255" s="433" t="s">
        <v>863</v>
      </c>
      <c r="B255" s="284"/>
      <c r="C255" s="1772"/>
      <c r="D255" s="1439"/>
      <c r="E255" s="1439"/>
      <c r="F255" s="215"/>
      <c r="G255" s="215"/>
      <c r="H255" s="432"/>
      <c r="I255" s="1773"/>
      <c r="J255" s="1719"/>
      <c r="K255" s="1719"/>
      <c r="L255" s="7"/>
      <c r="M255" s="204"/>
      <c r="N255" s="127">
        <v>12</v>
      </c>
      <c r="O255" s="134">
        <v>12</v>
      </c>
      <c r="P255" s="127">
        <v>80</v>
      </c>
      <c r="Q255" s="127">
        <v>30</v>
      </c>
      <c r="R255" s="127">
        <v>0</v>
      </c>
      <c r="S255" s="127">
        <v>0</v>
      </c>
      <c r="W255" s="33"/>
      <c r="X255" s="33"/>
      <c r="Y255" s="33"/>
    </row>
    <row r="256" spans="1:25" s="9" customFormat="1" ht="90.75" customHeight="1">
      <c r="A256" s="433" t="s">
        <v>864</v>
      </c>
      <c r="B256" s="284"/>
      <c r="C256" s="1772"/>
      <c r="D256" s="1439"/>
      <c r="E256" s="1439"/>
      <c r="F256" s="215"/>
      <c r="G256" s="215"/>
      <c r="H256" s="432"/>
      <c r="I256" s="1427" t="s">
        <v>1042</v>
      </c>
      <c r="J256" s="5" t="s">
        <v>48</v>
      </c>
      <c r="K256" s="5" t="s">
        <v>81</v>
      </c>
      <c r="L256" s="7"/>
      <c r="M256" s="204"/>
      <c r="N256" s="127">
        <v>134.61199999999999</v>
      </c>
      <c r="O256" s="134">
        <v>134.61199999999999</v>
      </c>
      <c r="P256" s="127">
        <f>482-50</f>
        <v>432</v>
      </c>
      <c r="Q256" s="127">
        <v>439</v>
      </c>
      <c r="R256" s="127">
        <v>0</v>
      </c>
      <c r="S256" s="127">
        <v>0</v>
      </c>
      <c r="W256" s="33"/>
      <c r="X256" s="33"/>
      <c r="Y256" s="33"/>
    </row>
    <row r="257" spans="1:25" s="9" customFormat="1" ht="50.25" customHeight="1">
      <c r="A257" s="433"/>
      <c r="B257" s="284"/>
      <c r="C257" s="434"/>
      <c r="D257" s="434"/>
      <c r="E257" s="434"/>
      <c r="F257" s="1434"/>
      <c r="G257" s="1434"/>
      <c r="H257" s="435"/>
      <c r="I257" s="436" t="s">
        <v>266</v>
      </c>
      <c r="J257" s="437" t="s">
        <v>48</v>
      </c>
      <c r="K257" s="437" t="s">
        <v>49</v>
      </c>
      <c r="L257" s="245"/>
      <c r="M257" s="438"/>
      <c r="N257" s="246"/>
      <c r="O257" s="134"/>
      <c r="P257" s="246"/>
      <c r="Q257" s="246"/>
      <c r="R257" s="246"/>
      <c r="S257" s="246"/>
      <c r="W257" s="33"/>
      <c r="X257" s="33"/>
      <c r="Y257" s="33"/>
    </row>
    <row r="258" spans="1:25" s="9" customFormat="1" ht="63.75" customHeight="1">
      <c r="A258" s="433"/>
      <c r="B258" s="440"/>
      <c r="C258" s="441"/>
      <c r="D258" s="441"/>
      <c r="E258" s="441"/>
      <c r="F258" s="1492"/>
      <c r="G258" s="442"/>
      <c r="H258" s="443"/>
      <c r="I258" s="436" t="s">
        <v>1195</v>
      </c>
      <c r="J258" s="1385" t="s">
        <v>48</v>
      </c>
      <c r="K258" s="1385" t="s">
        <v>1196</v>
      </c>
      <c r="L258" s="1446"/>
      <c r="M258" s="1387"/>
      <c r="N258" s="134"/>
      <c r="O258" s="134"/>
      <c r="P258" s="134"/>
      <c r="Q258" s="134"/>
      <c r="R258" s="134"/>
      <c r="S258" s="134"/>
      <c r="W258" s="33"/>
      <c r="X258" s="33"/>
      <c r="Y258" s="33"/>
    </row>
    <row r="259" spans="1:25" s="150" customFormat="1" ht="53.25" hidden="1" customHeight="1">
      <c r="A259" s="444" t="s">
        <v>874</v>
      </c>
      <c r="B259" s="445"/>
      <c r="C259" s="446"/>
      <c r="D259" s="446"/>
      <c r="E259" s="446"/>
      <c r="F259" s="1759" t="s">
        <v>473</v>
      </c>
      <c r="G259" s="1759" t="s">
        <v>878</v>
      </c>
      <c r="H259" s="1759" t="s">
        <v>879</v>
      </c>
      <c r="I259" s="447"/>
      <c r="J259" s="447"/>
      <c r="K259" s="447"/>
      <c r="L259" s="445"/>
      <c r="M259" s="448"/>
      <c r="N259" s="449"/>
      <c r="O259" s="1504"/>
      <c r="P259" s="449"/>
      <c r="Q259" s="449"/>
      <c r="R259" s="449"/>
      <c r="S259" s="449"/>
      <c r="W259" s="151"/>
      <c r="X259" s="151"/>
      <c r="Y259" s="151"/>
    </row>
    <row r="260" spans="1:25" s="9" customFormat="1" ht="53.25" hidden="1" customHeight="1">
      <c r="A260" s="450" t="s">
        <v>875</v>
      </c>
      <c r="B260" s="245" t="s">
        <v>876</v>
      </c>
      <c r="C260" s="451"/>
      <c r="D260" s="451"/>
      <c r="E260" s="451"/>
      <c r="F260" s="1759"/>
      <c r="G260" s="1759"/>
      <c r="H260" s="1759"/>
      <c r="I260" s="437"/>
      <c r="J260" s="437"/>
      <c r="K260" s="437"/>
      <c r="L260" s="245"/>
      <c r="M260" s="438"/>
      <c r="N260" s="246">
        <v>0</v>
      </c>
      <c r="O260" s="134">
        <v>0</v>
      </c>
      <c r="P260" s="246">
        <v>0</v>
      </c>
      <c r="Q260" s="246">
        <v>0</v>
      </c>
      <c r="R260" s="246">
        <v>0</v>
      </c>
      <c r="S260" s="246">
        <v>0</v>
      </c>
      <c r="W260" s="33"/>
      <c r="X260" s="33"/>
      <c r="Y260" s="33"/>
    </row>
    <row r="261" spans="1:25" s="9" customFormat="1" ht="24" hidden="1">
      <c r="A261" s="450"/>
      <c r="B261" s="245" t="s">
        <v>877</v>
      </c>
      <c r="C261" s="451"/>
      <c r="D261" s="451"/>
      <c r="E261" s="451"/>
      <c r="F261" s="1669"/>
      <c r="G261" s="1669"/>
      <c r="H261" s="1669"/>
      <c r="I261" s="437"/>
      <c r="J261" s="437"/>
      <c r="K261" s="437"/>
      <c r="L261" s="245"/>
      <c r="M261" s="438"/>
      <c r="N261" s="246">
        <v>0</v>
      </c>
      <c r="O261" s="134">
        <v>0</v>
      </c>
      <c r="P261" s="246">
        <v>0</v>
      </c>
      <c r="Q261" s="246">
        <v>0</v>
      </c>
      <c r="R261" s="246">
        <v>0</v>
      </c>
      <c r="S261" s="246">
        <v>0</v>
      </c>
      <c r="W261" s="33"/>
      <c r="X261" s="33"/>
      <c r="Y261" s="33"/>
    </row>
    <row r="262" spans="1:25" s="9" customFormat="1" ht="63" customHeight="1">
      <c r="A262" s="452" t="s">
        <v>352</v>
      </c>
      <c r="B262" s="190" t="s">
        <v>351</v>
      </c>
      <c r="C262" s="11" t="s">
        <v>40</v>
      </c>
      <c r="D262" s="11" t="s">
        <v>1193</v>
      </c>
      <c r="E262" s="13" t="s">
        <v>1159</v>
      </c>
      <c r="F262" s="453"/>
      <c r="G262" s="453"/>
      <c r="H262" s="454"/>
      <c r="I262" s="191"/>
      <c r="J262" s="191"/>
      <c r="K262" s="191"/>
      <c r="L262" s="455" t="s">
        <v>29</v>
      </c>
      <c r="M262" s="456">
        <v>12</v>
      </c>
      <c r="N262" s="193">
        <f>SUM(N263:N269)</f>
        <v>2817.8450000000003</v>
      </c>
      <c r="O262" s="1506">
        <f>SUM(O263:O269)</f>
        <v>2817.8450000000003</v>
      </c>
      <c r="P262" s="193">
        <f>SUM(P263:P270)</f>
        <v>2918</v>
      </c>
      <c r="Q262" s="193">
        <f>SUM(Q263:Q270)</f>
        <v>908</v>
      </c>
      <c r="R262" s="193">
        <f>SUM(R263:R270)</f>
        <v>908</v>
      </c>
      <c r="S262" s="193">
        <f>SUM(S263:S270)</f>
        <v>908</v>
      </c>
      <c r="W262" s="33"/>
      <c r="X262" s="33"/>
      <c r="Y262" s="33"/>
    </row>
    <row r="263" spans="1:25" s="9" customFormat="1" ht="12.75" customHeight="1">
      <c r="A263" s="457" t="s">
        <v>650</v>
      </c>
      <c r="B263" s="11"/>
      <c r="C263" s="1595"/>
      <c r="D263" s="1595"/>
      <c r="E263" s="1595"/>
      <c r="F263" s="1595" t="s">
        <v>460</v>
      </c>
      <c r="G263" s="1595" t="s">
        <v>1374</v>
      </c>
      <c r="H263" s="458" t="s">
        <v>1372</v>
      </c>
      <c r="I263" s="458"/>
      <c r="J263" s="458"/>
      <c r="K263" s="458"/>
      <c r="L263" s="459"/>
      <c r="M263" s="67"/>
      <c r="N263" s="460"/>
      <c r="O263" s="419"/>
      <c r="P263" s="460"/>
      <c r="Q263" s="460"/>
      <c r="R263" s="460"/>
      <c r="S263" s="460"/>
      <c r="W263" s="33"/>
      <c r="X263" s="33"/>
      <c r="Y263" s="33"/>
    </row>
    <row r="264" spans="1:25" s="9" customFormat="1" ht="40.5" customHeight="1">
      <c r="A264" s="125" t="s">
        <v>746</v>
      </c>
      <c r="B264" s="204"/>
      <c r="C264" s="1617"/>
      <c r="D264" s="1617"/>
      <c r="E264" s="1617"/>
      <c r="F264" s="1617"/>
      <c r="G264" s="1617"/>
      <c r="H264" s="131"/>
      <c r="I264" s="1437" t="s">
        <v>1197</v>
      </c>
      <c r="J264" s="1437" t="s">
        <v>48</v>
      </c>
      <c r="K264" s="1437" t="s">
        <v>1198</v>
      </c>
      <c r="L264" s="459"/>
      <c r="M264" s="290"/>
      <c r="N264" s="84"/>
      <c r="O264" s="419"/>
      <c r="P264" s="84"/>
      <c r="Q264" s="84"/>
      <c r="R264" s="84"/>
      <c r="S264" s="84"/>
      <c r="W264" s="33"/>
      <c r="X264" s="33"/>
      <c r="Y264" s="33"/>
    </row>
    <row r="265" spans="1:25" s="9" customFormat="1" ht="65.25" customHeight="1">
      <c r="A265" s="12" t="s">
        <v>1199</v>
      </c>
      <c r="B265" s="11"/>
      <c r="C265" s="463"/>
      <c r="D265" s="463"/>
      <c r="E265" s="463"/>
      <c r="F265" s="1617"/>
      <c r="G265" s="1617"/>
      <c r="H265" s="464"/>
      <c r="I265" s="458" t="s">
        <v>82</v>
      </c>
      <c r="J265" s="458" t="s">
        <v>48</v>
      </c>
      <c r="K265" s="458" t="s">
        <v>83</v>
      </c>
      <c r="L265" s="1422"/>
      <c r="M265" s="67"/>
      <c r="N265" s="460">
        <v>124.146</v>
      </c>
      <c r="O265" s="419">
        <v>124.146</v>
      </c>
      <c r="P265" s="460">
        <f>124.1+137</f>
        <v>261.10000000000002</v>
      </c>
      <c r="Q265" s="460">
        <v>273</v>
      </c>
      <c r="R265" s="460">
        <v>273</v>
      </c>
      <c r="S265" s="460">
        <v>273</v>
      </c>
      <c r="W265" s="33"/>
      <c r="X265" s="33"/>
      <c r="Y265" s="33"/>
    </row>
    <row r="266" spans="1:25" s="9" customFormat="1" ht="75" customHeight="1">
      <c r="A266" s="12"/>
      <c r="B266" s="288" t="s">
        <v>337</v>
      </c>
      <c r="C266" s="465"/>
      <c r="D266" s="465"/>
      <c r="E266" s="465"/>
      <c r="F266" s="1617"/>
      <c r="G266" s="1617"/>
      <c r="H266" s="465"/>
      <c r="I266" s="458" t="s">
        <v>1527</v>
      </c>
      <c r="J266" s="458" t="s">
        <v>48</v>
      </c>
      <c r="K266" s="458" t="s">
        <v>1528</v>
      </c>
      <c r="L266" s="11"/>
      <c r="M266" s="67"/>
      <c r="N266" s="460">
        <v>1117.3140000000001</v>
      </c>
      <c r="O266" s="419">
        <v>1117.3140000000001</v>
      </c>
      <c r="P266" s="460">
        <v>1116.9000000000001</v>
      </c>
      <c r="Q266" s="460"/>
      <c r="R266" s="460"/>
      <c r="S266" s="460"/>
      <c r="W266" s="33"/>
      <c r="X266" s="33"/>
      <c r="Y266" s="33"/>
    </row>
    <row r="267" spans="1:25" s="9" customFormat="1" ht="62.25" customHeight="1">
      <c r="A267" s="128" t="s">
        <v>1200</v>
      </c>
      <c r="B267" s="140"/>
      <c r="C267" s="466"/>
      <c r="D267" s="466"/>
      <c r="E267" s="466"/>
      <c r="F267" s="1751"/>
      <c r="G267" s="1751"/>
      <c r="H267" s="466"/>
      <c r="I267" s="1437" t="s">
        <v>1551</v>
      </c>
      <c r="J267" s="1437" t="s">
        <v>48</v>
      </c>
      <c r="K267" s="1437" t="s">
        <v>1201</v>
      </c>
      <c r="L267" s="1422"/>
      <c r="M267" s="290"/>
      <c r="N267" s="84">
        <f>876.385+35</f>
        <v>911.38499999999999</v>
      </c>
      <c r="O267" s="419">
        <f>876.385+35</f>
        <v>911.38499999999999</v>
      </c>
      <c r="P267" s="84">
        <v>635</v>
      </c>
      <c r="Q267" s="84">
        <v>635</v>
      </c>
      <c r="R267" s="84">
        <v>635</v>
      </c>
      <c r="S267" s="84">
        <v>635</v>
      </c>
      <c r="W267" s="33"/>
      <c r="X267" s="33"/>
      <c r="Y267" s="33"/>
    </row>
    <row r="268" spans="1:25" s="9" customFormat="1" ht="62.25" customHeight="1">
      <c r="A268" s="128"/>
      <c r="B268" s="204"/>
      <c r="C268" s="467"/>
      <c r="D268" s="467"/>
      <c r="E268" s="467"/>
      <c r="F268" s="130"/>
      <c r="G268" s="130"/>
      <c r="H268" s="130"/>
      <c r="I268" s="1443" t="s">
        <v>1552</v>
      </c>
      <c r="J268" s="1443" t="s">
        <v>48</v>
      </c>
      <c r="K268" s="1443" t="s">
        <v>1553</v>
      </c>
      <c r="L268" s="1422"/>
      <c r="M268" s="290"/>
      <c r="N268" s="84"/>
      <c r="O268" s="419"/>
      <c r="P268" s="84"/>
      <c r="Q268" s="84"/>
      <c r="R268" s="84"/>
      <c r="S268" s="84"/>
      <c r="W268" s="33"/>
      <c r="X268" s="33"/>
      <c r="Y268" s="33"/>
    </row>
    <row r="269" spans="1:25" s="9" customFormat="1" ht="56.25" customHeight="1">
      <c r="A269" s="12"/>
      <c r="B269" s="277" t="s">
        <v>1550</v>
      </c>
      <c r="C269" s="465"/>
      <c r="D269" s="465"/>
      <c r="E269" s="465"/>
      <c r="F269" s="464"/>
      <c r="G269" s="464"/>
      <c r="H269" s="464"/>
      <c r="I269" s="1581" t="s">
        <v>1609</v>
      </c>
      <c r="J269" s="458" t="s">
        <v>48</v>
      </c>
      <c r="K269" s="458" t="s">
        <v>1610</v>
      </c>
      <c r="L269" s="1422"/>
      <c r="M269" s="435"/>
      <c r="N269" s="391">
        <v>665</v>
      </c>
      <c r="O269" s="462">
        <v>665</v>
      </c>
      <c r="P269" s="391">
        <v>665</v>
      </c>
      <c r="Q269" s="462"/>
      <c r="R269" s="1273"/>
      <c r="S269" s="460"/>
      <c r="W269" s="33"/>
      <c r="X269" s="33"/>
      <c r="Y269" s="33"/>
    </row>
    <row r="270" spans="1:25" s="9" customFormat="1" ht="56.25" customHeight="1">
      <c r="A270" s="1246"/>
      <c r="B270" s="1247" t="s">
        <v>941</v>
      </c>
      <c r="C270" s="1248"/>
      <c r="D270" s="1248"/>
      <c r="E270" s="1248"/>
      <c r="F270" s="1249"/>
      <c r="G270" s="1249"/>
      <c r="H270" s="1249"/>
      <c r="I270" s="1582"/>
      <c r="J270" s="1250"/>
      <c r="K270" s="1250"/>
      <c r="L270" s="1473"/>
      <c r="M270" s="1473"/>
      <c r="N270" s="1233"/>
      <c r="O270" s="1233"/>
      <c r="P270" s="1233">
        <v>240</v>
      </c>
      <c r="Q270" s="1233"/>
      <c r="R270" s="1233"/>
      <c r="S270" s="1233"/>
      <c r="W270" s="33"/>
      <c r="X270" s="33"/>
      <c r="Y270" s="33"/>
    </row>
    <row r="271" spans="1:25" s="18" customFormat="1" ht="62.25" customHeight="1">
      <c r="A271" s="1237" t="s">
        <v>1202</v>
      </c>
      <c r="B271" s="1239" t="s">
        <v>353</v>
      </c>
      <c r="C271" s="1317" t="s">
        <v>40</v>
      </c>
      <c r="D271" s="1317" t="s">
        <v>1193</v>
      </c>
      <c r="E271" s="1240" t="s">
        <v>1159</v>
      </c>
      <c r="F271" s="1240"/>
      <c r="G271" s="1240"/>
      <c r="H271" s="1241"/>
      <c r="I271" s="1242"/>
      <c r="J271" s="1243"/>
      <c r="K271" s="1243"/>
      <c r="L271" s="1244" t="s">
        <v>25</v>
      </c>
      <c r="M271" s="1244" t="s">
        <v>19</v>
      </c>
      <c r="N271" s="1245">
        <f t="shared" ref="N271:S271" si="30">SUM(N272:N274)</f>
        <v>2669.4470000000001</v>
      </c>
      <c r="O271" s="1245">
        <f t="shared" si="30"/>
        <v>2669.4470000000001</v>
      </c>
      <c r="P271" s="1245">
        <f t="shared" si="30"/>
        <v>3578.6990000000001</v>
      </c>
      <c r="Q271" s="1245">
        <f t="shared" si="30"/>
        <v>2549.6999999999998</v>
      </c>
      <c r="R271" s="1245">
        <f t="shared" si="30"/>
        <v>4068</v>
      </c>
      <c r="S271" s="1245">
        <f t="shared" si="30"/>
        <v>4068</v>
      </c>
      <c r="W271" s="19"/>
      <c r="X271" s="19"/>
      <c r="Y271" s="19"/>
    </row>
    <row r="272" spans="1:25" s="18" customFormat="1" ht="12.75" customHeight="1">
      <c r="A272" s="461" t="s">
        <v>680</v>
      </c>
      <c r="B272" s="473"/>
      <c r="C272" s="1751" t="s">
        <v>132</v>
      </c>
      <c r="D272" s="1751" t="s">
        <v>133</v>
      </c>
      <c r="E272" s="1751" t="s">
        <v>134</v>
      </c>
      <c r="F272" s="1437"/>
      <c r="G272" s="1437"/>
      <c r="H272" s="1437"/>
      <c r="I272" s="474"/>
      <c r="J272" s="475"/>
      <c r="K272" s="475"/>
      <c r="L272" s="476"/>
      <c r="M272" s="476"/>
      <c r="N272" s="477"/>
      <c r="O272" s="1507"/>
      <c r="P272" s="477"/>
      <c r="Q272" s="477"/>
      <c r="R272" s="477"/>
      <c r="S272" s="477"/>
      <c r="W272" s="19"/>
      <c r="X272" s="19"/>
      <c r="Y272" s="19"/>
    </row>
    <row r="273" spans="1:25" s="18" customFormat="1" ht="64.5" customHeight="1">
      <c r="A273" s="461" t="s">
        <v>1203</v>
      </c>
      <c r="B273" s="473"/>
      <c r="C273" s="1751"/>
      <c r="D273" s="1751"/>
      <c r="E273" s="1751"/>
      <c r="F273" s="1437"/>
      <c r="G273" s="1437"/>
      <c r="H273" s="1437"/>
      <c r="I273" s="210" t="s">
        <v>1043</v>
      </c>
      <c r="J273" s="5" t="s">
        <v>48</v>
      </c>
      <c r="K273" s="5" t="s">
        <v>849</v>
      </c>
      <c r="L273" s="160"/>
      <c r="M273" s="160"/>
      <c r="N273" s="141"/>
      <c r="O273" s="141"/>
      <c r="P273" s="141"/>
      <c r="Q273" s="141"/>
      <c r="R273" s="141"/>
      <c r="S273" s="141"/>
      <c r="W273" s="19"/>
      <c r="X273" s="19"/>
      <c r="Y273" s="19"/>
    </row>
    <row r="274" spans="1:25" s="18" customFormat="1" ht="61.5" customHeight="1">
      <c r="A274" s="128" t="s">
        <v>1204</v>
      </c>
      <c r="B274" s="15"/>
      <c r="C274" s="1596"/>
      <c r="D274" s="1596"/>
      <c r="E274" s="1596"/>
      <c r="F274" s="131"/>
      <c r="G274" s="131"/>
      <c r="H274" s="131"/>
      <c r="I274" s="478" t="s">
        <v>135</v>
      </c>
      <c r="J274" s="479" t="s">
        <v>48</v>
      </c>
      <c r="K274" s="479" t="s">
        <v>136</v>
      </c>
      <c r="L274" s="16"/>
      <c r="M274" s="16"/>
      <c r="N274" s="127">
        <v>2669.4470000000001</v>
      </c>
      <c r="O274" s="134">
        <v>2669.4470000000001</v>
      </c>
      <c r="P274" s="127">
        <v>3578.6990000000001</v>
      </c>
      <c r="Q274" s="127">
        <v>2549.6999999999998</v>
      </c>
      <c r="R274" s="127">
        <v>4068</v>
      </c>
      <c r="S274" s="127">
        <v>4068</v>
      </c>
      <c r="W274" s="19"/>
      <c r="X274" s="19"/>
      <c r="Y274" s="19"/>
    </row>
    <row r="275" spans="1:25" s="9" customFormat="1" ht="64.5" customHeight="1">
      <c r="A275" s="308" t="s">
        <v>355</v>
      </c>
      <c r="B275" s="455" t="s">
        <v>354</v>
      </c>
      <c r="C275" s="480" t="s">
        <v>40</v>
      </c>
      <c r="D275" s="20" t="s">
        <v>1205</v>
      </c>
      <c r="E275" s="21" t="s">
        <v>1159</v>
      </c>
      <c r="F275" s="480"/>
      <c r="G275" s="480"/>
      <c r="H275" s="481"/>
      <c r="I275" s="471"/>
      <c r="J275" s="471"/>
      <c r="K275" s="471"/>
      <c r="L275" s="456"/>
      <c r="M275" s="482"/>
      <c r="N275" s="472">
        <f>SUM(N276:N288)</f>
        <v>9384.0689999999995</v>
      </c>
      <c r="O275" s="1506">
        <f t="shared" ref="O275:S275" si="31">SUM(O276:O288)</f>
        <v>9384.0689999999995</v>
      </c>
      <c r="P275" s="472">
        <f t="shared" si="31"/>
        <v>18854.306</v>
      </c>
      <c r="Q275" s="472">
        <f t="shared" si="31"/>
        <v>16843.599999999999</v>
      </c>
      <c r="R275" s="472">
        <f t="shared" si="31"/>
        <v>16890.7</v>
      </c>
      <c r="S275" s="472">
        <f t="shared" si="31"/>
        <v>16993.5</v>
      </c>
      <c r="W275" s="33"/>
      <c r="X275" s="33"/>
      <c r="Y275" s="33"/>
    </row>
    <row r="276" spans="1:25" s="9" customFormat="1" ht="13.5" customHeight="1">
      <c r="A276" s="302" t="s">
        <v>681</v>
      </c>
      <c r="B276" s="204"/>
      <c r="C276" s="1766" t="s">
        <v>1375</v>
      </c>
      <c r="D276" s="1768" t="s">
        <v>1376</v>
      </c>
      <c r="E276" s="1762" t="s">
        <v>1377</v>
      </c>
      <c r="F276" s="1766" t="s">
        <v>290</v>
      </c>
      <c r="G276" s="1766" t="s">
        <v>292</v>
      </c>
      <c r="H276" s="1766" t="s">
        <v>291</v>
      </c>
      <c r="I276" s="475"/>
      <c r="J276" s="475"/>
      <c r="K276" s="475"/>
      <c r="L276" s="483"/>
      <c r="M276" s="483"/>
      <c r="N276" s="477"/>
      <c r="O276" s="1507"/>
      <c r="P276" s="477"/>
      <c r="Q276" s="484"/>
      <c r="R276" s="484"/>
      <c r="S276" s="484"/>
      <c r="W276" s="33"/>
      <c r="X276" s="33"/>
      <c r="Y276" s="33"/>
    </row>
    <row r="277" spans="1:25" s="9" customFormat="1" ht="24" customHeight="1">
      <c r="A277" s="125" t="s">
        <v>747</v>
      </c>
      <c r="B277" s="204"/>
      <c r="C277" s="1767"/>
      <c r="D277" s="1769"/>
      <c r="E277" s="1763"/>
      <c r="F277" s="1767"/>
      <c r="G277" s="1767"/>
      <c r="H277" s="1767"/>
      <c r="I277" s="1719" t="s">
        <v>1571</v>
      </c>
      <c r="J277" s="1719" t="s">
        <v>48</v>
      </c>
      <c r="K277" s="1719" t="s">
        <v>555</v>
      </c>
      <c r="L277" s="7"/>
      <c r="M277" s="7"/>
      <c r="N277" s="127"/>
      <c r="O277" s="134"/>
      <c r="P277" s="127"/>
      <c r="Q277" s="314"/>
      <c r="R277" s="314"/>
      <c r="S277" s="314"/>
      <c r="W277" s="33"/>
      <c r="X277" s="33"/>
      <c r="Y277" s="33"/>
    </row>
    <row r="278" spans="1:25" s="9" customFormat="1" ht="75.75" customHeight="1">
      <c r="A278" s="128" t="s">
        <v>748</v>
      </c>
      <c r="B278" s="204"/>
      <c r="C278" s="1767"/>
      <c r="D278" s="1769"/>
      <c r="E278" s="1763"/>
      <c r="F278" s="1767"/>
      <c r="G278" s="1767"/>
      <c r="H278" s="1767"/>
      <c r="I278" s="1719"/>
      <c r="J278" s="1719"/>
      <c r="K278" s="1719"/>
      <c r="L278" s="7" t="s">
        <v>17</v>
      </c>
      <c r="M278" s="7" t="s">
        <v>25</v>
      </c>
      <c r="N278" s="127">
        <v>2488</v>
      </c>
      <c r="O278" s="134">
        <v>2488</v>
      </c>
      <c r="P278" s="127">
        <f>2509.5+190.306</f>
        <v>2699.806</v>
      </c>
      <c r="Q278" s="314">
        <v>2699.8</v>
      </c>
      <c r="R278" s="314">
        <v>2699.8</v>
      </c>
      <c r="S278" s="314">
        <v>2699.8</v>
      </c>
      <c r="W278" s="33"/>
      <c r="X278" s="33"/>
      <c r="Y278" s="33"/>
    </row>
    <row r="279" spans="1:25" s="9" customFormat="1" ht="12.75" customHeight="1">
      <c r="A279" s="485"/>
      <c r="B279" s="204"/>
      <c r="C279" s="131"/>
      <c r="D279" s="131"/>
      <c r="E279" s="131"/>
      <c r="F279" s="131"/>
      <c r="G279" s="131"/>
      <c r="H279" s="486"/>
      <c r="I279" s="1730" t="s">
        <v>594</v>
      </c>
      <c r="J279" s="1730" t="s">
        <v>85</v>
      </c>
      <c r="K279" s="1730" t="s">
        <v>86</v>
      </c>
      <c r="L279" s="459"/>
      <c r="M279" s="487"/>
      <c r="N279" s="84"/>
      <c r="O279" s="419"/>
      <c r="P279" s="84"/>
      <c r="Q279" s="84"/>
      <c r="R279" s="84"/>
      <c r="S279" s="84"/>
      <c r="W279" s="33"/>
      <c r="X279" s="33"/>
      <c r="Y279" s="33"/>
    </row>
    <row r="280" spans="1:25" s="9" customFormat="1" ht="112.5" customHeight="1">
      <c r="A280" s="488"/>
      <c r="B280" s="204"/>
      <c r="C280" s="131"/>
      <c r="D280" s="131"/>
      <c r="E280" s="131"/>
      <c r="F280" s="131"/>
      <c r="G280" s="131"/>
      <c r="H280" s="486"/>
      <c r="I280" s="1730"/>
      <c r="J280" s="1730"/>
      <c r="K280" s="1730"/>
      <c r="L280" s="459"/>
      <c r="M280" s="487"/>
      <c r="N280" s="84"/>
      <c r="O280" s="419"/>
      <c r="P280" s="84"/>
      <c r="Q280" s="84"/>
      <c r="R280" s="84"/>
      <c r="S280" s="84"/>
      <c r="W280" s="33"/>
      <c r="X280" s="33"/>
      <c r="Y280" s="33"/>
    </row>
    <row r="281" spans="1:25" s="9" customFormat="1" ht="48.75" customHeight="1">
      <c r="A281" s="489"/>
      <c r="B281" s="11"/>
      <c r="C281" s="458"/>
      <c r="D281" s="458"/>
      <c r="E281" s="458"/>
      <c r="F281" s="458"/>
      <c r="G281" s="458"/>
      <c r="H281" s="458"/>
      <c r="I281" s="458" t="s">
        <v>295</v>
      </c>
      <c r="J281" s="490"/>
      <c r="K281" s="491"/>
      <c r="L281" s="288"/>
      <c r="M281" s="492"/>
      <c r="N281" s="460"/>
      <c r="O281" s="419"/>
      <c r="P281" s="460"/>
      <c r="Q281" s="460"/>
      <c r="R281" s="460"/>
      <c r="S281" s="460"/>
      <c r="W281" s="33"/>
      <c r="X281" s="33"/>
      <c r="Y281" s="33"/>
    </row>
    <row r="282" spans="1:25" s="9" customFormat="1" ht="78.75" customHeight="1">
      <c r="A282" s="493"/>
      <c r="B282" s="11"/>
      <c r="C282" s="458"/>
      <c r="D282" s="458"/>
      <c r="E282" s="458"/>
      <c r="F282" s="458"/>
      <c r="G282" s="458"/>
      <c r="H282" s="494"/>
      <c r="I282" s="1466" t="s">
        <v>515</v>
      </c>
      <c r="J282" s="1466" t="s">
        <v>48</v>
      </c>
      <c r="K282" s="1466" t="s">
        <v>80</v>
      </c>
      <c r="L282" s="244"/>
      <c r="M282" s="244"/>
      <c r="N282" s="419"/>
      <c r="O282" s="419"/>
      <c r="P282" s="419"/>
      <c r="Q282" s="419"/>
      <c r="R282" s="419"/>
      <c r="S282" s="419"/>
      <c r="W282" s="33"/>
      <c r="X282" s="33"/>
      <c r="Y282" s="33"/>
    </row>
    <row r="283" spans="1:25" s="9" customFormat="1" ht="15" customHeight="1">
      <c r="A283" s="1770" t="s">
        <v>754</v>
      </c>
      <c r="B283" s="7"/>
      <c r="C283" s="128"/>
      <c r="D283" s="128"/>
      <c r="E283" s="495"/>
      <c r="F283" s="496"/>
      <c r="G283" s="497"/>
      <c r="H283" s="130"/>
      <c r="I283" s="498"/>
      <c r="J283" s="498"/>
      <c r="K283" s="499"/>
      <c r="L283" s="244" t="s">
        <v>17</v>
      </c>
      <c r="M283" s="136" t="s">
        <v>32</v>
      </c>
      <c r="N283" s="500">
        <v>6896.0690000000004</v>
      </c>
      <c r="O283" s="500">
        <v>6896.0690000000004</v>
      </c>
      <c r="P283" s="500">
        <v>15447.1</v>
      </c>
      <c r="Q283" s="500">
        <v>14143.8</v>
      </c>
      <c r="R283" s="1232">
        <v>14190.9</v>
      </c>
      <c r="S283" s="501">
        <v>14293.7</v>
      </c>
      <c r="W283" s="33"/>
      <c r="X283" s="33"/>
      <c r="Y283" s="33"/>
    </row>
    <row r="284" spans="1:25" s="9" customFormat="1" ht="99.75" customHeight="1">
      <c r="A284" s="1770"/>
      <c r="B284" s="258" t="s">
        <v>1100</v>
      </c>
      <c r="C284" s="468"/>
      <c r="D284" s="502"/>
      <c r="E284" s="100"/>
      <c r="F284" s="1494" t="s">
        <v>1102</v>
      </c>
      <c r="G284" s="1455" t="s">
        <v>1535</v>
      </c>
      <c r="H284" s="503"/>
      <c r="I284" s="1388" t="s">
        <v>1536</v>
      </c>
      <c r="J284" s="1388"/>
      <c r="K284" s="504"/>
      <c r="L284" s="244" t="s">
        <v>17</v>
      </c>
      <c r="M284" s="136" t="s">
        <v>32</v>
      </c>
      <c r="N284" s="500"/>
      <c r="O284" s="500"/>
      <c r="P284" s="500">
        <v>707.4</v>
      </c>
      <c r="Q284" s="500"/>
      <c r="R284" s="1232"/>
      <c r="S284" s="501"/>
      <c r="W284" s="33"/>
      <c r="X284" s="33"/>
      <c r="Y284" s="33"/>
    </row>
    <row r="285" spans="1:25" s="9" customFormat="1" ht="54" hidden="1" customHeight="1">
      <c r="A285" s="505" t="s">
        <v>987</v>
      </c>
      <c r="B285" s="1423"/>
      <c r="C285" s="506"/>
      <c r="D285" s="507"/>
      <c r="E285" s="1455"/>
      <c r="F285" s="1494"/>
      <c r="G285" s="1455"/>
      <c r="H285" s="1494"/>
      <c r="I285" s="1685" t="s">
        <v>1579</v>
      </c>
      <c r="J285" s="1685" t="s">
        <v>649</v>
      </c>
      <c r="K285" s="1685" t="s">
        <v>555</v>
      </c>
      <c r="L285" s="244"/>
      <c r="M285" s="244"/>
      <c r="N285" s="419"/>
      <c r="O285" s="419"/>
      <c r="P285" s="419"/>
      <c r="Q285" s="419"/>
      <c r="R285" s="419"/>
      <c r="S285" s="419"/>
      <c r="W285" s="33"/>
      <c r="X285" s="33"/>
      <c r="Y285" s="33"/>
    </row>
    <row r="286" spans="1:25" s="9" customFormat="1" ht="48.75" hidden="1" customHeight="1">
      <c r="A286" s="508" t="s">
        <v>988</v>
      </c>
      <c r="B286" s="1423"/>
      <c r="C286" s="506"/>
      <c r="D286" s="437"/>
      <c r="E286" s="437"/>
      <c r="F286" s="437"/>
      <c r="G286" s="437"/>
      <c r="H286" s="509"/>
      <c r="I286" s="1685"/>
      <c r="J286" s="1685"/>
      <c r="K286" s="1685"/>
      <c r="L286" s="244"/>
      <c r="M286" s="244"/>
      <c r="N286" s="419"/>
      <c r="O286" s="419"/>
      <c r="P286" s="419"/>
      <c r="Q286" s="419"/>
      <c r="R286" s="419"/>
      <c r="S286" s="419"/>
      <c r="W286" s="33"/>
      <c r="X286" s="33"/>
      <c r="Y286" s="33"/>
    </row>
    <row r="287" spans="1:25" s="9" customFormat="1" ht="39.75" hidden="1" customHeight="1">
      <c r="A287" s="218" t="s">
        <v>989</v>
      </c>
      <c r="B287" s="288" t="s">
        <v>285</v>
      </c>
      <c r="C287" s="12"/>
      <c r="D287" s="12"/>
      <c r="E287" s="12"/>
      <c r="F287" s="1617" t="s">
        <v>461</v>
      </c>
      <c r="G287" s="1617" t="s">
        <v>1206</v>
      </c>
      <c r="H287" s="1862" t="s">
        <v>472</v>
      </c>
      <c r="I287" s="1417" t="s">
        <v>60</v>
      </c>
      <c r="J287" s="1417" t="s">
        <v>48</v>
      </c>
      <c r="K287" s="1417" t="s">
        <v>51</v>
      </c>
      <c r="L287" s="1477">
        <v>11</v>
      </c>
      <c r="M287" s="244" t="s">
        <v>25</v>
      </c>
      <c r="N287" s="419">
        <v>0</v>
      </c>
      <c r="O287" s="419">
        <v>0</v>
      </c>
      <c r="P287" s="419">
        <v>0</v>
      </c>
      <c r="Q287" s="419"/>
      <c r="R287" s="419"/>
      <c r="S287" s="419"/>
      <c r="W287" s="33"/>
      <c r="X287" s="33"/>
      <c r="Y287" s="33"/>
    </row>
    <row r="288" spans="1:25" s="9" customFormat="1" ht="75.75" hidden="1" customHeight="1">
      <c r="A288" s="12"/>
      <c r="B288" s="11"/>
      <c r="C288" s="12"/>
      <c r="D288" s="12"/>
      <c r="E288" s="12"/>
      <c r="F288" s="1861"/>
      <c r="G288" s="1861"/>
      <c r="H288" s="1863"/>
      <c r="I288" s="510" t="s">
        <v>1137</v>
      </c>
      <c r="J288" s="954" t="s">
        <v>48</v>
      </c>
      <c r="K288" s="954" t="s">
        <v>1581</v>
      </c>
      <c r="L288" s="1470"/>
      <c r="M288" s="1470"/>
      <c r="N288" s="512"/>
      <c r="O288" s="512"/>
      <c r="P288" s="512"/>
      <c r="Q288" s="512"/>
      <c r="R288" s="512"/>
      <c r="S288" s="512"/>
      <c r="W288" s="33"/>
      <c r="X288" s="33"/>
      <c r="Y288" s="33"/>
    </row>
    <row r="289" spans="1:25" s="18" customFormat="1" ht="59.25" customHeight="1">
      <c r="A289" s="104" t="s">
        <v>356</v>
      </c>
      <c r="B289" s="105">
        <v>1047</v>
      </c>
      <c r="C289" s="50" t="s">
        <v>323</v>
      </c>
      <c r="D289" s="50" t="s">
        <v>1207</v>
      </c>
      <c r="E289" s="21" t="s">
        <v>1159</v>
      </c>
      <c r="F289" s="104" t="s">
        <v>24</v>
      </c>
      <c r="G289" s="104" t="s">
        <v>24</v>
      </c>
      <c r="H289" s="104" t="s">
        <v>24</v>
      </c>
      <c r="I289" s="104" t="s">
        <v>24</v>
      </c>
      <c r="J289" s="104" t="s">
        <v>24</v>
      </c>
      <c r="K289" s="104" t="s">
        <v>24</v>
      </c>
      <c r="L289" s="105"/>
      <c r="M289" s="105"/>
      <c r="N289" s="109">
        <f>SUM(N290:N304)</f>
        <v>8476.982</v>
      </c>
      <c r="O289" s="109">
        <f t="shared" ref="O289:P289" si="32">SUM(O290:O304)</f>
        <v>7031.4389999999994</v>
      </c>
      <c r="P289" s="109">
        <f t="shared" si="32"/>
        <v>7963.7719999999999</v>
      </c>
      <c r="Q289" s="109">
        <f t="shared" ref="Q289" si="33">SUM(Q290:Q304)</f>
        <v>8366.9</v>
      </c>
      <c r="R289" s="109">
        <f t="shared" ref="R289" si="34">SUM(R290:R304)</f>
        <v>9163.1</v>
      </c>
      <c r="S289" s="109">
        <f t="shared" ref="S289" si="35">SUM(S290:S304)</f>
        <v>9163.1</v>
      </c>
      <c r="W289" s="19"/>
      <c r="X289" s="19"/>
      <c r="Y289" s="19"/>
    </row>
    <row r="290" spans="1:25" s="9" customFormat="1" ht="12" customHeight="1">
      <c r="A290" s="513" t="s">
        <v>698</v>
      </c>
      <c r="B290" s="514"/>
      <c r="C290" s="1808" t="s">
        <v>1375</v>
      </c>
      <c r="D290" s="1768" t="s">
        <v>1376</v>
      </c>
      <c r="E290" s="1762" t="s">
        <v>1377</v>
      </c>
      <c r="F290" s="1616" t="s">
        <v>290</v>
      </c>
      <c r="G290" s="1616" t="s">
        <v>292</v>
      </c>
      <c r="H290" s="1616" t="s">
        <v>1378</v>
      </c>
      <c r="I290" s="1491"/>
      <c r="J290" s="1491"/>
      <c r="K290" s="121"/>
      <c r="L290" s="514"/>
      <c r="M290" s="515"/>
      <c r="N290" s="516"/>
      <c r="O290" s="124"/>
      <c r="P290" s="516"/>
      <c r="Q290" s="517"/>
      <c r="R290" s="517"/>
      <c r="S290" s="517"/>
      <c r="W290" s="33"/>
      <c r="X290" s="33"/>
      <c r="Y290" s="33"/>
    </row>
    <row r="291" spans="1:25" s="9" customFormat="1" ht="103.5" customHeight="1">
      <c r="A291" s="461" t="s">
        <v>1677</v>
      </c>
      <c r="B291" s="1440"/>
      <c r="C291" s="1822"/>
      <c r="D291" s="1769"/>
      <c r="E291" s="1763"/>
      <c r="F291" s="1751"/>
      <c r="G291" s="1751"/>
      <c r="H291" s="1751"/>
      <c r="I291" s="1440" t="s">
        <v>1579</v>
      </c>
      <c r="J291" s="204" t="s">
        <v>649</v>
      </c>
      <c r="K291" s="128" t="s">
        <v>555</v>
      </c>
      <c r="L291" s="1440"/>
      <c r="M291" s="140"/>
      <c r="N291" s="141"/>
      <c r="O291" s="141"/>
      <c r="P291" s="141"/>
      <c r="Q291" s="518"/>
      <c r="R291" s="518"/>
      <c r="S291" s="518"/>
      <c r="W291" s="33"/>
      <c r="X291" s="33"/>
      <c r="Y291" s="33"/>
    </row>
    <row r="292" spans="1:25" s="9" customFormat="1" ht="125.25" customHeight="1">
      <c r="A292" s="128" t="s">
        <v>749</v>
      </c>
      <c r="B292" s="204"/>
      <c r="C292" s="1822"/>
      <c r="D292" s="1769"/>
      <c r="E292" s="1763"/>
      <c r="F292" s="131"/>
      <c r="G292" s="131"/>
      <c r="H292" s="131"/>
      <c r="I292" s="131" t="s">
        <v>594</v>
      </c>
      <c r="J292" s="131" t="s">
        <v>85</v>
      </c>
      <c r="K292" s="131" t="s">
        <v>86</v>
      </c>
      <c r="L292" s="204">
        <v>11</v>
      </c>
      <c r="M292" s="7" t="s">
        <v>28</v>
      </c>
      <c r="N292" s="127">
        <v>1863.57</v>
      </c>
      <c r="O292" s="134">
        <v>559.07100000000003</v>
      </c>
      <c r="P292" s="127">
        <v>1304.499</v>
      </c>
      <c r="Q292" s="314">
        <v>100</v>
      </c>
      <c r="R292" s="314">
        <v>0</v>
      </c>
      <c r="S292" s="314">
        <v>0</v>
      </c>
      <c r="W292" s="33"/>
      <c r="X292" s="33"/>
      <c r="Y292" s="33"/>
    </row>
    <row r="293" spans="1:25" s="9" customFormat="1" ht="39" customHeight="1">
      <c r="A293" s="128" t="s">
        <v>750</v>
      </c>
      <c r="B293" s="204"/>
      <c r="C293" s="1759" t="s">
        <v>287</v>
      </c>
      <c r="D293" s="204" t="s">
        <v>288</v>
      </c>
      <c r="E293" s="204" t="s">
        <v>289</v>
      </c>
      <c r="F293" s="128"/>
      <c r="G293" s="128"/>
      <c r="H293" s="128"/>
      <c r="I293" s="5" t="s">
        <v>60</v>
      </c>
      <c r="J293" s="5" t="s">
        <v>48</v>
      </c>
      <c r="K293" s="5" t="s">
        <v>51</v>
      </c>
      <c r="L293" s="7" t="s">
        <v>17</v>
      </c>
      <c r="M293" s="7" t="s">
        <v>28</v>
      </c>
      <c r="N293" s="127">
        <v>5688.2690000000002</v>
      </c>
      <c r="O293" s="134">
        <v>5667.3440000000001</v>
      </c>
      <c r="P293" s="127">
        <f>5895.973-280+570+280</f>
        <v>6465.973</v>
      </c>
      <c r="Q293" s="314">
        <f>1714.3+6520</f>
        <v>8234.2999999999993</v>
      </c>
      <c r="R293" s="314">
        <f>1714.3+7416.2</f>
        <v>9130.5</v>
      </c>
      <c r="S293" s="314">
        <f>1714.3+7416.2</f>
        <v>9130.5</v>
      </c>
      <c r="W293" s="33"/>
      <c r="X293" s="33"/>
      <c r="Y293" s="33"/>
    </row>
    <row r="294" spans="1:25" s="9" customFormat="1" ht="148.5" customHeight="1">
      <c r="A294" s="135"/>
      <c r="B294" s="7"/>
      <c r="C294" s="1760"/>
      <c r="D294" s="1440"/>
      <c r="E294" s="1440"/>
      <c r="F294" s="1440" t="s">
        <v>461</v>
      </c>
      <c r="G294" s="1440" t="s">
        <v>1208</v>
      </c>
      <c r="H294" s="135"/>
      <c r="I294" s="131" t="s">
        <v>1582</v>
      </c>
      <c r="J294" s="139" t="s">
        <v>48</v>
      </c>
      <c r="K294" s="139" t="s">
        <v>283</v>
      </c>
      <c r="L294" s="140"/>
      <c r="M294" s="140"/>
      <c r="N294" s="141"/>
      <c r="O294" s="141"/>
      <c r="P294" s="141"/>
      <c r="Q294" s="518"/>
      <c r="R294" s="518"/>
      <c r="S294" s="518"/>
      <c r="W294" s="33"/>
      <c r="X294" s="33"/>
      <c r="Y294" s="33"/>
    </row>
    <row r="295" spans="1:25" s="9" customFormat="1" ht="114" customHeight="1">
      <c r="A295" s="135"/>
      <c r="B295" s="7" t="s">
        <v>430</v>
      </c>
      <c r="C295" s="1760"/>
      <c r="D295" s="1440"/>
      <c r="E295" s="1440"/>
      <c r="F295" s="135"/>
      <c r="G295" s="131" t="s">
        <v>1099</v>
      </c>
      <c r="H295" s="131" t="s">
        <v>1070</v>
      </c>
      <c r="I295" s="1385" t="s">
        <v>1063</v>
      </c>
      <c r="J295" s="131" t="s">
        <v>48</v>
      </c>
      <c r="K295" s="131" t="s">
        <v>1064</v>
      </c>
      <c r="L295" s="1446"/>
      <c r="M295" s="1446"/>
      <c r="N295" s="127">
        <v>682.5</v>
      </c>
      <c r="O295" s="134">
        <v>573.29999999999995</v>
      </c>
      <c r="P295" s="134">
        <v>0</v>
      </c>
      <c r="Q295" s="519"/>
      <c r="R295" s="519"/>
      <c r="S295" s="519"/>
      <c r="W295" s="33"/>
      <c r="X295" s="33"/>
      <c r="Y295" s="33"/>
    </row>
    <row r="296" spans="1:25" s="9" customFormat="1" ht="25.5" customHeight="1">
      <c r="A296" s="380"/>
      <c r="B296" s="1441"/>
      <c r="C296" s="1761"/>
      <c r="D296" s="1441"/>
      <c r="E296" s="1441"/>
      <c r="F296" s="1761"/>
      <c r="G296" s="1441" t="s">
        <v>1491</v>
      </c>
      <c r="H296" s="1441" t="s">
        <v>1509</v>
      </c>
      <c r="I296" s="1764" t="s">
        <v>1507</v>
      </c>
      <c r="J296" s="1442" t="s">
        <v>48</v>
      </c>
      <c r="K296" s="1442" t="s">
        <v>1508</v>
      </c>
      <c r="L296" s="381"/>
      <c r="M296" s="381"/>
      <c r="N296" s="383"/>
      <c r="O296" s="383"/>
      <c r="P296" s="383"/>
      <c r="Q296" s="520"/>
      <c r="R296" s="520"/>
      <c r="S296" s="520"/>
      <c r="W296" s="33"/>
      <c r="X296" s="33"/>
      <c r="Y296" s="33"/>
    </row>
    <row r="297" spans="1:25" s="9" customFormat="1" ht="25.5" customHeight="1">
      <c r="A297" s="380"/>
      <c r="B297" s="381" t="s">
        <v>1505</v>
      </c>
      <c r="C297" s="1761"/>
      <c r="D297" s="1441"/>
      <c r="E297" s="1441"/>
      <c r="F297" s="1761"/>
      <c r="G297" s="380"/>
      <c r="H297" s="380"/>
      <c r="I297" s="1764"/>
      <c r="J297" s="1442"/>
      <c r="K297" s="1442"/>
      <c r="L297" s="381" t="s">
        <v>17</v>
      </c>
      <c r="M297" s="381" t="s">
        <v>28</v>
      </c>
      <c r="N297" s="383">
        <v>0</v>
      </c>
      <c r="O297" s="383">
        <v>0</v>
      </c>
      <c r="P297" s="383">
        <v>0</v>
      </c>
      <c r="Q297" s="520"/>
      <c r="R297" s="520"/>
      <c r="S297" s="520"/>
      <c r="W297" s="33"/>
      <c r="X297" s="33"/>
      <c r="Y297" s="33"/>
    </row>
    <row r="298" spans="1:25" s="9" customFormat="1" ht="25.5" customHeight="1">
      <c r="A298" s="380"/>
      <c r="B298" s="381" t="s">
        <v>1506</v>
      </c>
      <c r="C298" s="1761"/>
      <c r="D298" s="1441"/>
      <c r="E298" s="1441"/>
      <c r="F298" s="1761"/>
      <c r="G298" s="380"/>
      <c r="H298" s="380"/>
      <c r="I298" s="1764"/>
      <c r="J298" s="1442"/>
      <c r="K298" s="1442"/>
      <c r="L298" s="381" t="s">
        <v>17</v>
      </c>
      <c r="M298" s="381" t="s">
        <v>28</v>
      </c>
      <c r="N298" s="383">
        <v>0</v>
      </c>
      <c r="O298" s="383">
        <v>0</v>
      </c>
      <c r="P298" s="383">
        <v>0</v>
      </c>
      <c r="Q298" s="520"/>
      <c r="R298" s="520"/>
      <c r="S298" s="520"/>
      <c r="W298" s="33"/>
      <c r="X298" s="33"/>
      <c r="Y298" s="33"/>
    </row>
    <row r="299" spans="1:25" s="9" customFormat="1" ht="152.25" customHeight="1">
      <c r="A299" s="203" t="s">
        <v>751</v>
      </c>
      <c r="B299" s="204"/>
      <c r="C299" s="1759"/>
      <c r="D299" s="128"/>
      <c r="E299" s="128"/>
      <c r="F299" s="128"/>
      <c r="G299" s="128"/>
      <c r="H299" s="128"/>
      <c r="I299" s="131" t="s">
        <v>1582</v>
      </c>
      <c r="J299" s="131" t="s">
        <v>48</v>
      </c>
      <c r="K299" s="131" t="s">
        <v>283</v>
      </c>
      <c r="L299" s="7" t="s">
        <v>17</v>
      </c>
      <c r="M299" s="7" t="s">
        <v>28</v>
      </c>
      <c r="N299" s="127">
        <v>68.242999999999995</v>
      </c>
      <c r="O299" s="134">
        <v>57.323999999999998</v>
      </c>
      <c r="P299" s="127">
        <v>0</v>
      </c>
      <c r="Q299" s="314"/>
      <c r="R299" s="314"/>
      <c r="S299" s="314"/>
      <c r="W299" s="33"/>
      <c r="X299" s="33"/>
      <c r="Y299" s="33"/>
    </row>
    <row r="300" spans="1:25" s="9" customFormat="1" ht="67.5" customHeight="1">
      <c r="A300" s="1681" t="s">
        <v>752</v>
      </c>
      <c r="B300" s="7" t="s">
        <v>1032</v>
      </c>
      <c r="C300" s="128"/>
      <c r="D300" s="128"/>
      <c r="E300" s="1278"/>
      <c r="F300" s="1680" t="s">
        <v>461</v>
      </c>
      <c r="G300" s="1383" t="s">
        <v>1209</v>
      </c>
      <c r="H300" s="131" t="s">
        <v>1070</v>
      </c>
      <c r="I300" s="1617" t="s">
        <v>1073</v>
      </c>
      <c r="J300" s="131" t="s">
        <v>48</v>
      </c>
      <c r="K300" s="131" t="s">
        <v>1074</v>
      </c>
      <c r="L300" s="7" t="s">
        <v>17</v>
      </c>
      <c r="M300" s="7" t="s">
        <v>32</v>
      </c>
      <c r="N300" s="127">
        <v>154.9</v>
      </c>
      <c r="O300" s="134">
        <v>154.9</v>
      </c>
      <c r="P300" s="134">
        <v>173.8</v>
      </c>
      <c r="Q300" s="314"/>
      <c r="R300" s="314"/>
      <c r="S300" s="314"/>
      <c r="W300" s="33"/>
      <c r="X300" s="33"/>
      <c r="Y300" s="33"/>
    </row>
    <row r="301" spans="1:25" s="9" customFormat="1" ht="68.25" customHeight="1">
      <c r="A301" s="1681"/>
      <c r="B301" s="7"/>
      <c r="C301" s="128"/>
      <c r="D301" s="128"/>
      <c r="E301" s="1339"/>
      <c r="F301" s="1765"/>
      <c r="G301" s="1340"/>
      <c r="H301" s="130"/>
      <c r="I301" s="1617"/>
      <c r="J301" s="1385"/>
      <c r="K301" s="1385"/>
      <c r="L301" s="7" t="s">
        <v>17</v>
      </c>
      <c r="M301" s="7" t="s">
        <v>32</v>
      </c>
      <c r="N301" s="127">
        <v>19.5</v>
      </c>
      <c r="O301" s="134">
        <v>19.5</v>
      </c>
      <c r="P301" s="134">
        <v>19.5</v>
      </c>
      <c r="Q301" s="314">
        <v>32.6</v>
      </c>
      <c r="R301" s="314">
        <v>32.6</v>
      </c>
      <c r="S301" s="314">
        <v>32.6</v>
      </c>
      <c r="W301" s="33"/>
      <c r="X301" s="33"/>
      <c r="Y301" s="33"/>
    </row>
    <row r="302" spans="1:25" s="150" customFormat="1" ht="53.25" hidden="1" customHeight="1">
      <c r="A302" s="335" t="s">
        <v>753</v>
      </c>
      <c r="B302" s="148"/>
      <c r="C302" s="125"/>
      <c r="D302" s="125"/>
      <c r="E302" s="522"/>
      <c r="F302" s="523"/>
      <c r="G302" s="524"/>
      <c r="H302" s="145"/>
      <c r="I302" s="1235" t="s">
        <v>1570</v>
      </c>
      <c r="J302" s="498" t="s">
        <v>48</v>
      </c>
      <c r="K302" s="499" t="s">
        <v>555</v>
      </c>
      <c r="L302" s="148"/>
      <c r="M302" s="148"/>
      <c r="N302" s="149"/>
      <c r="O302" s="1504"/>
      <c r="P302" s="149"/>
      <c r="Q302" s="525"/>
      <c r="R302" s="526"/>
      <c r="S302" s="149"/>
      <c r="W302" s="151"/>
      <c r="X302" s="151"/>
      <c r="Y302" s="151"/>
    </row>
    <row r="303" spans="1:25" s="9" customFormat="1" ht="53.25" hidden="1" customHeight="1">
      <c r="A303" s="380" t="s">
        <v>754</v>
      </c>
      <c r="B303" s="7"/>
      <c r="C303" s="128"/>
      <c r="D303" s="128"/>
      <c r="E303" s="495"/>
      <c r="F303" s="496"/>
      <c r="G303" s="497"/>
      <c r="H303" s="130"/>
      <c r="I303" s="498"/>
      <c r="J303" s="498"/>
      <c r="K303" s="499"/>
      <c r="L303" s="244" t="s">
        <v>17</v>
      </c>
      <c r="M303" s="136" t="s">
        <v>32</v>
      </c>
      <c r="N303" s="500">
        <f>6896.069-6896.069</f>
        <v>0</v>
      </c>
      <c r="O303" s="500">
        <f>6896.069-6896.069</f>
        <v>0</v>
      </c>
      <c r="P303" s="500">
        <v>0</v>
      </c>
      <c r="Q303" s="500"/>
      <c r="R303" s="704"/>
      <c r="S303" s="501"/>
      <c r="W303" s="33"/>
      <c r="X303" s="33"/>
      <c r="Y303" s="33"/>
    </row>
    <row r="304" spans="1:25" s="9" customFormat="1" ht="53.25" hidden="1" customHeight="1">
      <c r="A304" s="527"/>
      <c r="B304" s="1446" t="s">
        <v>1100</v>
      </c>
      <c r="C304" s="126"/>
      <c r="D304" s="126"/>
      <c r="E304" s="495"/>
      <c r="F304" s="71" t="s">
        <v>1102</v>
      </c>
      <c r="G304" s="497" t="s">
        <v>1103</v>
      </c>
      <c r="H304" s="133"/>
      <c r="I304" s="1388" t="s">
        <v>1101</v>
      </c>
      <c r="J304" s="1388"/>
      <c r="K304" s="504"/>
      <c r="L304" s="244"/>
      <c r="M304" s="136"/>
      <c r="N304" s="500"/>
      <c r="O304" s="500"/>
      <c r="P304" s="500">
        <f>707.4-707.4</f>
        <v>0</v>
      </c>
      <c r="Q304" s="500"/>
      <c r="R304" s="1233"/>
      <c r="S304" s="501"/>
      <c r="W304" s="33"/>
      <c r="X304" s="33"/>
      <c r="Y304" s="33"/>
    </row>
    <row r="305" spans="1:25" s="18" customFormat="1" ht="120">
      <c r="A305" s="189" t="s">
        <v>1211</v>
      </c>
      <c r="B305" s="528">
        <v>1048</v>
      </c>
      <c r="C305" s="50" t="s">
        <v>323</v>
      </c>
      <c r="D305" s="50" t="s">
        <v>1210</v>
      </c>
      <c r="E305" s="21" t="s">
        <v>1159</v>
      </c>
      <c r="F305" s="529"/>
      <c r="G305" s="452"/>
      <c r="H305" s="452"/>
      <c r="I305" s="530"/>
      <c r="J305" s="531"/>
      <c r="K305" s="532"/>
      <c r="L305" s="105" t="s">
        <v>33</v>
      </c>
      <c r="M305" s="105" t="s">
        <v>33</v>
      </c>
      <c r="N305" s="109">
        <f>SUM(N306:N312)</f>
        <v>335.69499999999999</v>
      </c>
      <c r="O305" s="109">
        <f t="shared" ref="O305:P305" si="36">SUM(O306:O312)</f>
        <v>335.69499999999999</v>
      </c>
      <c r="P305" s="109">
        <f t="shared" si="36"/>
        <v>513.93999999999994</v>
      </c>
      <c r="Q305" s="109">
        <f t="shared" ref="Q305" si="37">SUM(Q306:Q312)</f>
        <v>500.5</v>
      </c>
      <c r="R305" s="109">
        <f t="shared" ref="R305" si="38">SUM(R306:R312)</f>
        <v>500.5</v>
      </c>
      <c r="S305" s="109">
        <f t="shared" ref="S305" si="39">SUM(S306:S312)</f>
        <v>500.5</v>
      </c>
      <c r="W305" s="19"/>
      <c r="X305" s="19"/>
      <c r="Y305" s="19"/>
    </row>
    <row r="306" spans="1:25" s="9" customFormat="1" ht="24">
      <c r="A306" s="533" t="s">
        <v>682</v>
      </c>
      <c r="B306" s="534"/>
      <c r="C306" s="1595"/>
      <c r="D306" s="1595"/>
      <c r="E306" s="1595"/>
      <c r="F306" s="535"/>
      <c r="G306" s="535"/>
      <c r="H306" s="535"/>
      <c r="I306" s="536"/>
      <c r="J306" s="536"/>
      <c r="K306" s="126"/>
      <c r="L306" s="1387"/>
      <c r="M306" s="1387"/>
      <c r="N306" s="134"/>
      <c r="O306" s="134"/>
      <c r="P306" s="134"/>
      <c r="Q306" s="134"/>
      <c r="R306" s="134"/>
      <c r="S306" s="134"/>
      <c r="W306" s="33"/>
      <c r="X306" s="33"/>
      <c r="Y306" s="33"/>
    </row>
    <row r="307" spans="1:25" s="9" customFormat="1" ht="98.25" customHeight="1">
      <c r="A307" s="142" t="s">
        <v>1678</v>
      </c>
      <c r="B307" s="537"/>
      <c r="C307" s="1617"/>
      <c r="D307" s="1617"/>
      <c r="E307" s="1617"/>
      <c r="F307" s="1385"/>
      <c r="G307" s="1385"/>
      <c r="H307" s="1385"/>
      <c r="I307" s="204" t="s">
        <v>1579</v>
      </c>
      <c r="J307" s="1387" t="s">
        <v>641</v>
      </c>
      <c r="K307" s="126" t="s">
        <v>555</v>
      </c>
      <c r="L307" s="1387"/>
      <c r="M307" s="1387"/>
      <c r="N307" s="134"/>
      <c r="O307" s="134"/>
      <c r="P307" s="134"/>
      <c r="Q307" s="134"/>
      <c r="R307" s="134"/>
      <c r="S307" s="134"/>
      <c r="W307" s="33"/>
      <c r="X307" s="33"/>
      <c r="Y307" s="33"/>
    </row>
    <row r="308" spans="1:25" s="9" customFormat="1" ht="78" customHeight="1">
      <c r="A308" s="126" t="s">
        <v>755</v>
      </c>
      <c r="B308" s="537"/>
      <c r="C308" s="1617"/>
      <c r="D308" s="1617"/>
      <c r="E308" s="1617"/>
      <c r="F308" s="1385"/>
      <c r="G308" s="1385"/>
      <c r="H308" s="1385"/>
      <c r="I308" s="1385" t="s">
        <v>462</v>
      </c>
      <c r="J308" s="1385" t="s">
        <v>68</v>
      </c>
      <c r="K308" s="1385" t="s">
        <v>87</v>
      </c>
      <c r="L308" s="1387"/>
      <c r="M308" s="1387"/>
      <c r="N308" s="134">
        <v>335.69499999999999</v>
      </c>
      <c r="O308" s="134">
        <v>335.69499999999999</v>
      </c>
      <c r="P308" s="134">
        <f>301.106+212.798</f>
        <v>513.904</v>
      </c>
      <c r="Q308" s="134">
        <v>500.5</v>
      </c>
      <c r="R308" s="134">
        <v>500.5</v>
      </c>
      <c r="S308" s="134">
        <v>500.5</v>
      </c>
      <c r="W308" s="33"/>
      <c r="X308" s="33"/>
      <c r="Y308" s="33"/>
    </row>
    <row r="309" spans="1:25" s="9" customFormat="1" ht="111.75" hidden="1" customHeight="1">
      <c r="A309" s="126" t="s">
        <v>1104</v>
      </c>
      <c r="B309" s="1446"/>
      <c r="C309" s="1385"/>
      <c r="D309" s="1385"/>
      <c r="E309" s="1385"/>
      <c r="F309" s="1751" t="s">
        <v>1212</v>
      </c>
      <c r="G309" s="1385" t="s">
        <v>1213</v>
      </c>
      <c r="H309" s="1385" t="s">
        <v>1379</v>
      </c>
      <c r="I309" s="1675" t="s">
        <v>1523</v>
      </c>
      <c r="J309" s="1385" t="s">
        <v>48</v>
      </c>
      <c r="K309" s="1385" t="s">
        <v>1524</v>
      </c>
      <c r="L309" s="1387"/>
      <c r="M309" s="1387"/>
      <c r="N309" s="134"/>
      <c r="O309" s="134"/>
      <c r="P309" s="134">
        <f>512.04-299.206-212.798</f>
        <v>3.5999999999944521E-2</v>
      </c>
      <c r="Q309" s="134"/>
      <c r="R309" s="134"/>
      <c r="S309" s="134"/>
      <c r="W309" s="33"/>
      <c r="X309" s="33"/>
      <c r="Y309" s="33"/>
    </row>
    <row r="310" spans="1:25" s="9" customFormat="1" ht="24" hidden="1">
      <c r="A310" s="126"/>
      <c r="B310" s="1446" t="s">
        <v>1105</v>
      </c>
      <c r="C310" s="1385"/>
      <c r="D310" s="1385"/>
      <c r="E310" s="1385"/>
      <c r="F310" s="1751"/>
      <c r="G310" s="1385"/>
      <c r="H310" s="1385"/>
      <c r="I310" s="1675"/>
      <c r="J310" s="1385"/>
      <c r="K310" s="1385"/>
      <c r="L310" s="1387"/>
      <c r="M310" s="1387"/>
      <c r="N310" s="134"/>
      <c r="O310" s="134"/>
      <c r="P310" s="134">
        <f>20645.653-20645.653</f>
        <v>0</v>
      </c>
      <c r="Q310" s="134"/>
      <c r="R310" s="134"/>
      <c r="S310" s="134"/>
      <c r="W310" s="33"/>
      <c r="X310" s="33"/>
      <c r="Y310" s="33"/>
    </row>
    <row r="311" spans="1:25" s="9" customFormat="1" ht="24" hidden="1">
      <c r="A311" s="126"/>
      <c r="B311" s="1446" t="s">
        <v>1106</v>
      </c>
      <c r="C311" s="1385"/>
      <c r="D311" s="1385"/>
      <c r="E311" s="1385"/>
      <c r="F311" s="1751"/>
      <c r="G311" s="1385"/>
      <c r="H311" s="1385"/>
      <c r="I311" s="1675"/>
      <c r="J311" s="1385"/>
      <c r="K311" s="1385"/>
      <c r="L311" s="1387"/>
      <c r="M311" s="1387"/>
      <c r="N311" s="134"/>
      <c r="O311" s="134"/>
      <c r="P311" s="134">
        <f>421.347-421.347</f>
        <v>0</v>
      </c>
      <c r="Q311" s="134"/>
      <c r="R311" s="134"/>
      <c r="S311" s="134"/>
      <c r="W311" s="33"/>
      <c r="X311" s="33"/>
      <c r="Y311" s="33"/>
    </row>
    <row r="312" spans="1:25" s="9" customFormat="1" ht="73.5" hidden="1" customHeight="1">
      <c r="A312" s="126"/>
      <c r="B312" s="1446" t="s">
        <v>1107</v>
      </c>
      <c r="C312" s="1385"/>
      <c r="D312" s="1385"/>
      <c r="E312" s="1385"/>
      <c r="F312" s="1864"/>
      <c r="G312" s="1385"/>
      <c r="H312" s="1385"/>
      <c r="I312" s="1385"/>
      <c r="J312" s="1385"/>
      <c r="K312" s="1385"/>
      <c r="L312" s="1387"/>
      <c r="M312" s="1387"/>
      <c r="N312" s="134"/>
      <c r="O312" s="134"/>
      <c r="P312" s="134">
        <f>29621.4-29621.4</f>
        <v>0</v>
      </c>
      <c r="Q312" s="134"/>
      <c r="R312" s="134"/>
      <c r="S312" s="134"/>
      <c r="W312" s="33"/>
      <c r="X312" s="33"/>
      <c r="Y312" s="33"/>
    </row>
    <row r="313" spans="1:25" s="9" customFormat="1" ht="53.25" hidden="1" customHeight="1">
      <c r="A313" s="538" t="s">
        <v>756</v>
      </c>
      <c r="B313" s="528">
        <v>1055</v>
      </c>
      <c r="C313" s="539"/>
      <c r="D313" s="539"/>
      <c r="E313" s="539"/>
      <c r="F313" s="539"/>
      <c r="G313" s="539"/>
      <c r="H313" s="539"/>
      <c r="I313" s="539"/>
      <c r="J313" s="539"/>
      <c r="K313" s="539"/>
      <c r="L313" s="303" t="s">
        <v>29</v>
      </c>
      <c r="M313" s="303" t="s">
        <v>18</v>
      </c>
      <c r="N313" s="193">
        <f t="shared" ref="N313:Q313" si="40">SUM(N314:N317)</f>
        <v>0</v>
      </c>
      <c r="O313" s="1506">
        <f t="shared" si="40"/>
        <v>0</v>
      </c>
      <c r="P313" s="193">
        <f t="shared" si="40"/>
        <v>0</v>
      </c>
      <c r="Q313" s="193">
        <f t="shared" si="40"/>
        <v>0</v>
      </c>
      <c r="R313" s="193">
        <f t="shared" ref="R313:S313" si="41">SUM(R314:R317)</f>
        <v>0</v>
      </c>
      <c r="S313" s="193">
        <f t="shared" si="41"/>
        <v>0</v>
      </c>
      <c r="W313" s="33"/>
      <c r="X313" s="33"/>
      <c r="Y313" s="33"/>
    </row>
    <row r="314" spans="1:25" s="18" customFormat="1" ht="53.25" hidden="1" customHeight="1">
      <c r="A314" s="125" t="s">
        <v>757</v>
      </c>
      <c r="B314" s="483"/>
      <c r="C314" s="540"/>
      <c r="D314" s="540"/>
      <c r="E314" s="540"/>
      <c r="F314" s="1668" t="s">
        <v>561</v>
      </c>
      <c r="G314" s="1668" t="s">
        <v>562</v>
      </c>
      <c r="H314" s="1668" t="s">
        <v>472</v>
      </c>
      <c r="I314" s="540"/>
      <c r="J314" s="540"/>
      <c r="K314" s="540"/>
      <c r="L314" s="483"/>
      <c r="M314" s="483"/>
      <c r="N314" s="477"/>
      <c r="O314" s="1507"/>
      <c r="P314" s="477"/>
      <c r="Q314" s="484"/>
      <c r="R314" s="484"/>
      <c r="S314" s="484"/>
      <c r="W314" s="19"/>
      <c r="X314" s="19"/>
      <c r="Y314" s="19"/>
    </row>
    <row r="315" spans="1:25" s="18" customFormat="1" ht="53.25" hidden="1" customHeight="1">
      <c r="A315" s="1681" t="s">
        <v>758</v>
      </c>
      <c r="B315" s="7" t="s">
        <v>502</v>
      </c>
      <c r="C315" s="204"/>
      <c r="D315" s="204"/>
      <c r="E315" s="204"/>
      <c r="F315" s="1759"/>
      <c r="G315" s="1759"/>
      <c r="H315" s="1759"/>
      <c r="I315" s="1759" t="s">
        <v>631</v>
      </c>
      <c r="J315" s="204" t="s">
        <v>48</v>
      </c>
      <c r="K315" s="204" t="s">
        <v>632</v>
      </c>
      <c r="L315" s="7"/>
      <c r="M315" s="7"/>
      <c r="N315" s="127">
        <v>0</v>
      </c>
      <c r="O315" s="134">
        <v>0</v>
      </c>
      <c r="P315" s="127">
        <v>0</v>
      </c>
      <c r="Q315" s="314">
        <v>0</v>
      </c>
      <c r="R315" s="314">
        <v>0</v>
      </c>
      <c r="S315" s="314">
        <v>0</v>
      </c>
      <c r="W315" s="19"/>
      <c r="X315" s="19"/>
      <c r="Y315" s="19"/>
    </row>
    <row r="316" spans="1:25" s="18" customFormat="1" ht="53.25" hidden="1" customHeight="1">
      <c r="A316" s="1681"/>
      <c r="B316" s="7"/>
      <c r="C316" s="204"/>
      <c r="D316" s="204"/>
      <c r="E316" s="204"/>
      <c r="F316" s="1759"/>
      <c r="G316" s="1759"/>
      <c r="H316" s="1759"/>
      <c r="I316" s="1759"/>
      <c r="J316" s="204"/>
      <c r="K316" s="204"/>
      <c r="L316" s="7"/>
      <c r="M316" s="7"/>
      <c r="N316" s="127">
        <v>0</v>
      </c>
      <c r="O316" s="134">
        <v>0</v>
      </c>
      <c r="P316" s="127">
        <v>0</v>
      </c>
      <c r="Q316" s="314">
        <v>0</v>
      </c>
      <c r="R316" s="314">
        <v>0</v>
      </c>
      <c r="S316" s="314">
        <v>0</v>
      </c>
      <c r="W316" s="19"/>
      <c r="X316" s="19"/>
      <c r="Y316" s="19"/>
    </row>
    <row r="317" spans="1:25" s="18" customFormat="1" ht="53.25" hidden="1" customHeight="1">
      <c r="A317" s="541"/>
      <c r="B317" s="542" t="s">
        <v>503</v>
      </c>
      <c r="C317" s="543"/>
      <c r="D317" s="543"/>
      <c r="E317" s="543"/>
      <c r="F317" s="1669"/>
      <c r="G317" s="1669"/>
      <c r="H317" s="1669"/>
      <c r="I317" s="1669"/>
      <c r="J317" s="543"/>
      <c r="K317" s="544"/>
      <c r="L317" s="542"/>
      <c r="M317" s="542"/>
      <c r="N317" s="545">
        <v>0</v>
      </c>
      <c r="O317" s="637">
        <v>0</v>
      </c>
      <c r="P317" s="545">
        <v>0</v>
      </c>
      <c r="Q317" s="1524">
        <v>0</v>
      </c>
      <c r="R317" s="1524">
        <v>0</v>
      </c>
      <c r="S317" s="1524">
        <v>0</v>
      </c>
      <c r="W317" s="19"/>
      <c r="X317" s="19"/>
      <c r="Y317" s="19"/>
    </row>
    <row r="318" spans="1:25" s="18" customFormat="1" ht="135.75" customHeight="1">
      <c r="A318" s="546" t="s">
        <v>531</v>
      </c>
      <c r="B318" s="547">
        <v>1059</v>
      </c>
      <c r="C318" s="50" t="s">
        <v>323</v>
      </c>
      <c r="D318" s="50" t="s">
        <v>1380</v>
      </c>
      <c r="E318" s="21" t="s">
        <v>1159</v>
      </c>
      <c r="F318" s="548"/>
      <c r="G318" s="548"/>
      <c r="H318" s="548"/>
      <c r="I318" s="549"/>
      <c r="J318" s="550"/>
      <c r="K318" s="550"/>
      <c r="L318" s="547"/>
      <c r="M318" s="547"/>
      <c r="N318" s="551">
        <f>SUM(N319:N329)</f>
        <v>1869.2729999999999</v>
      </c>
      <c r="O318" s="551">
        <f t="shared" ref="O318:P318" si="42">SUM(O319:O329)</f>
        <v>1869.2829999999999</v>
      </c>
      <c r="P318" s="551">
        <f t="shared" si="42"/>
        <v>3431.5169999999998</v>
      </c>
      <c r="Q318" s="551">
        <f t="shared" ref="Q318" si="43">SUM(Q319:Q329)</f>
        <v>1158</v>
      </c>
      <c r="R318" s="551">
        <f t="shared" ref="R318" si="44">SUM(R319:R329)</f>
        <v>942.5</v>
      </c>
      <c r="S318" s="551">
        <f t="shared" ref="S318" si="45">SUM(S319:S329)</f>
        <v>1042.9000000000001</v>
      </c>
      <c r="W318" s="19"/>
      <c r="X318" s="19"/>
      <c r="Y318" s="19"/>
    </row>
    <row r="319" spans="1:25" s="9" customFormat="1" ht="12.75" customHeight="1">
      <c r="A319" s="552" t="s">
        <v>683</v>
      </c>
      <c r="B319" s="553"/>
      <c r="C319" s="554"/>
      <c r="D319" s="554"/>
      <c r="E319" s="554"/>
      <c r="F319" s="554"/>
      <c r="G319" s="554"/>
      <c r="H319" s="554"/>
      <c r="I319" s="555"/>
      <c r="J319" s="475"/>
      <c r="K319" s="475"/>
      <c r="L319" s="553"/>
      <c r="M319" s="553"/>
      <c r="N319" s="556"/>
      <c r="O319" s="1507"/>
      <c r="P319" s="556"/>
      <c r="Q319" s="556"/>
      <c r="R319" s="556"/>
      <c r="S319" s="556"/>
      <c r="W319" s="33"/>
      <c r="X319" s="33"/>
      <c r="Y319" s="33"/>
    </row>
    <row r="320" spans="1:25" s="9" customFormat="1" ht="37.5" customHeight="1">
      <c r="A320" s="125" t="s">
        <v>759</v>
      </c>
      <c r="B320" s="204"/>
      <c r="C320" s="306"/>
      <c r="D320" s="306"/>
      <c r="E320" s="306"/>
      <c r="F320" s="1865" t="s">
        <v>1679</v>
      </c>
      <c r="G320" s="1865" t="s">
        <v>1215</v>
      </c>
      <c r="H320" s="306" t="s">
        <v>474</v>
      </c>
      <c r="I320" s="1719" t="s">
        <v>1324</v>
      </c>
      <c r="J320" s="5" t="s">
        <v>48</v>
      </c>
      <c r="K320" s="5" t="s">
        <v>556</v>
      </c>
      <c r="L320" s="204"/>
      <c r="M320" s="204"/>
      <c r="N320" s="127"/>
      <c r="O320" s="134"/>
      <c r="P320" s="127"/>
      <c r="Q320" s="127"/>
      <c r="R320" s="127"/>
      <c r="S320" s="127"/>
      <c r="W320" s="33"/>
      <c r="X320" s="33"/>
      <c r="Y320" s="33"/>
    </row>
    <row r="321" spans="1:25" s="9" customFormat="1" ht="48" customHeight="1">
      <c r="A321" s="128" t="s">
        <v>760</v>
      </c>
      <c r="B321" s="204"/>
      <c r="C321" s="306"/>
      <c r="D321" s="306"/>
      <c r="E321" s="306"/>
      <c r="F321" s="1865"/>
      <c r="G321" s="1865"/>
      <c r="H321" s="306"/>
      <c r="I321" s="1719"/>
      <c r="J321" s="5"/>
      <c r="K321" s="5"/>
      <c r="L321" s="7" t="s">
        <v>16</v>
      </c>
      <c r="M321" s="7" t="s">
        <v>32</v>
      </c>
      <c r="N321" s="127">
        <f>0+21.07+3.264</f>
        <v>24.334</v>
      </c>
      <c r="O321" s="134">
        <f>3.264+21.07</f>
        <v>24.334</v>
      </c>
      <c r="P321" s="127">
        <v>0</v>
      </c>
      <c r="Q321" s="127"/>
      <c r="R321" s="127"/>
      <c r="S321" s="127"/>
      <c r="W321" s="33"/>
      <c r="X321" s="33"/>
      <c r="Y321" s="33"/>
    </row>
    <row r="322" spans="1:25" s="9" customFormat="1" ht="37.5" customHeight="1">
      <c r="A322" s="128"/>
      <c r="B322" s="7" t="s">
        <v>866</v>
      </c>
      <c r="C322" s="306"/>
      <c r="D322" s="306"/>
      <c r="E322" s="306"/>
      <c r="F322" s="1865"/>
      <c r="G322" s="1865"/>
      <c r="H322" s="306"/>
      <c r="I322" s="1719" t="s">
        <v>497</v>
      </c>
      <c r="J322" s="1719" t="s">
        <v>48</v>
      </c>
      <c r="K322" s="1719" t="s">
        <v>83</v>
      </c>
      <c r="L322" s="7" t="s">
        <v>16</v>
      </c>
      <c r="M322" s="7" t="s">
        <v>32</v>
      </c>
      <c r="N322" s="127">
        <v>60.15</v>
      </c>
      <c r="O322" s="134">
        <v>60.16</v>
      </c>
      <c r="P322" s="127">
        <v>0</v>
      </c>
      <c r="Q322" s="127"/>
      <c r="R322" s="127"/>
      <c r="S322" s="127"/>
      <c r="W322" s="33"/>
      <c r="X322" s="33"/>
      <c r="Y322" s="33"/>
    </row>
    <row r="323" spans="1:25" s="9" customFormat="1" ht="41.25" customHeight="1">
      <c r="A323" s="128"/>
      <c r="B323" s="7" t="s">
        <v>867</v>
      </c>
      <c r="C323" s="306"/>
      <c r="D323" s="306"/>
      <c r="E323" s="306"/>
      <c r="F323" s="1865"/>
      <c r="G323" s="306"/>
      <c r="H323" s="306"/>
      <c r="I323" s="1719"/>
      <c r="J323" s="1719"/>
      <c r="K323" s="1719"/>
      <c r="L323" s="7" t="s">
        <v>16</v>
      </c>
      <c r="M323" s="7" t="s">
        <v>32</v>
      </c>
      <c r="N323" s="127">
        <v>1.861</v>
      </c>
      <c r="O323" s="134">
        <v>1.861</v>
      </c>
      <c r="P323" s="127">
        <v>0</v>
      </c>
      <c r="Q323" s="127"/>
      <c r="R323" s="127"/>
      <c r="S323" s="127"/>
      <c r="W323" s="33"/>
      <c r="X323" s="33"/>
      <c r="Y323" s="33"/>
    </row>
    <row r="324" spans="1:25" s="9" customFormat="1" ht="50.25" customHeight="1">
      <c r="A324" s="128"/>
      <c r="B324" s="7" t="s">
        <v>868</v>
      </c>
      <c r="C324" s="306"/>
      <c r="D324" s="306"/>
      <c r="E324" s="306"/>
      <c r="F324" s="1865"/>
      <c r="G324" s="306"/>
      <c r="H324" s="306"/>
      <c r="I324" s="1388" t="s">
        <v>967</v>
      </c>
      <c r="J324" s="1388" t="s">
        <v>48</v>
      </c>
      <c r="K324" s="1388" t="s">
        <v>968</v>
      </c>
      <c r="L324" s="7" t="s">
        <v>16</v>
      </c>
      <c r="M324" s="7" t="s">
        <v>32</v>
      </c>
      <c r="N324" s="127">
        <v>254.328</v>
      </c>
      <c r="O324" s="134">
        <v>254.328</v>
      </c>
      <c r="P324" s="127">
        <v>0</v>
      </c>
      <c r="Q324" s="127"/>
      <c r="R324" s="127"/>
      <c r="S324" s="127"/>
      <c r="W324" s="33"/>
      <c r="X324" s="33"/>
      <c r="Y324" s="33"/>
    </row>
    <row r="325" spans="1:25" s="9" customFormat="1" ht="99.75" customHeight="1">
      <c r="A325" s="125" t="s">
        <v>1680</v>
      </c>
      <c r="B325" s="7"/>
      <c r="C325" s="131"/>
      <c r="D325" s="467"/>
      <c r="E325" s="467"/>
      <c r="F325" s="131"/>
      <c r="G325" s="131"/>
      <c r="H325" s="557"/>
      <c r="I325" s="204" t="s">
        <v>1579</v>
      </c>
      <c r="J325" s="131" t="s">
        <v>655</v>
      </c>
      <c r="K325" s="131" t="s">
        <v>656</v>
      </c>
      <c r="L325" s="7"/>
      <c r="M325" s="7"/>
      <c r="N325" s="127"/>
      <c r="O325" s="134"/>
      <c r="P325" s="127"/>
      <c r="Q325" s="127"/>
      <c r="R325" s="127"/>
      <c r="S325" s="127"/>
      <c r="W325" s="33"/>
      <c r="X325" s="33"/>
      <c r="Y325" s="33"/>
    </row>
    <row r="326" spans="1:25" s="18" customFormat="1" ht="66" customHeight="1">
      <c r="A326" s="128" t="s">
        <v>761</v>
      </c>
      <c r="B326" s="7" t="s">
        <v>517</v>
      </c>
      <c r="C326" s="1752" t="s">
        <v>321</v>
      </c>
      <c r="D326" s="306" t="s">
        <v>424</v>
      </c>
      <c r="E326" s="306" t="s">
        <v>1381</v>
      </c>
      <c r="F326" s="1752" t="s">
        <v>475</v>
      </c>
      <c r="G326" s="131" t="s">
        <v>476</v>
      </c>
      <c r="H326" s="557" t="s">
        <v>472</v>
      </c>
      <c r="I326" s="131" t="s">
        <v>1621</v>
      </c>
      <c r="J326" s="131" t="s">
        <v>48</v>
      </c>
      <c r="K326" s="131" t="s">
        <v>1080</v>
      </c>
      <c r="L326" s="204" t="s">
        <v>16</v>
      </c>
      <c r="M326" s="204" t="s">
        <v>29</v>
      </c>
      <c r="N326" s="127">
        <v>352.28100000000001</v>
      </c>
      <c r="O326" s="134">
        <v>352.28100000000001</v>
      </c>
      <c r="P326" s="127">
        <v>808.31500000000005</v>
      </c>
      <c r="Q326" s="127"/>
      <c r="R326" s="127"/>
      <c r="S326" s="127"/>
      <c r="W326" s="19"/>
      <c r="X326" s="19"/>
      <c r="Y326" s="19"/>
    </row>
    <row r="327" spans="1:25" s="18" customFormat="1" ht="57.75" customHeight="1">
      <c r="A327" s="14"/>
      <c r="B327" s="7"/>
      <c r="C327" s="1752"/>
      <c r="D327" s="306"/>
      <c r="E327" s="306"/>
      <c r="F327" s="1752"/>
      <c r="G327" s="131"/>
      <c r="H327" s="557"/>
      <c r="I327" s="1719"/>
      <c r="J327" s="131"/>
      <c r="K327" s="131"/>
      <c r="L327" s="204" t="s">
        <v>16</v>
      </c>
      <c r="M327" s="204" t="s">
        <v>29</v>
      </c>
      <c r="N327" s="127">
        <f>352.281+4</f>
        <v>356.28100000000001</v>
      </c>
      <c r="O327" s="134">
        <f>352.281+4</f>
        <v>356.28100000000001</v>
      </c>
      <c r="P327" s="127">
        <v>937.2</v>
      </c>
      <c r="Q327" s="127">
        <v>1158</v>
      </c>
      <c r="R327" s="127">
        <v>942.5</v>
      </c>
      <c r="S327" s="127">
        <v>1042.9000000000001</v>
      </c>
      <c r="W327" s="19"/>
      <c r="X327" s="19"/>
      <c r="Y327" s="19"/>
    </row>
    <row r="328" spans="1:25" s="18" customFormat="1" ht="27" customHeight="1">
      <c r="A328" s="14"/>
      <c r="B328" s="7" t="s">
        <v>518</v>
      </c>
      <c r="C328" s="1752"/>
      <c r="D328" s="306"/>
      <c r="E328" s="306"/>
      <c r="F328" s="1752"/>
      <c r="G328" s="306"/>
      <c r="H328" s="306"/>
      <c r="I328" s="1719"/>
      <c r="J328" s="131"/>
      <c r="K328" s="131"/>
      <c r="L328" s="204" t="s">
        <v>16</v>
      </c>
      <c r="M328" s="204" t="s">
        <v>29</v>
      </c>
      <c r="N328" s="127">
        <v>820.03800000000001</v>
      </c>
      <c r="O328" s="134">
        <v>820.03800000000001</v>
      </c>
      <c r="P328" s="127">
        <v>1686.002</v>
      </c>
      <c r="Q328" s="127"/>
      <c r="R328" s="127"/>
      <c r="S328" s="127"/>
      <c r="W328" s="19"/>
      <c r="X328" s="19"/>
      <c r="Y328" s="19"/>
    </row>
    <row r="329" spans="1:25" s="9" customFormat="1" ht="53.25" hidden="1" customHeight="1">
      <c r="A329" s="541" t="s">
        <v>684</v>
      </c>
      <c r="B329" s="7" t="s">
        <v>913</v>
      </c>
      <c r="C329" s="558" t="s">
        <v>258</v>
      </c>
      <c r="D329" s="558" t="s">
        <v>138</v>
      </c>
      <c r="E329" s="558" t="s">
        <v>139</v>
      </c>
      <c r="F329" s="558" t="s">
        <v>508</v>
      </c>
      <c r="G329" s="558" t="s">
        <v>268</v>
      </c>
      <c r="H329" s="558" t="s">
        <v>269</v>
      </c>
      <c r="I329" s="478" t="s">
        <v>140</v>
      </c>
      <c r="J329" s="479" t="s">
        <v>504</v>
      </c>
      <c r="K329" s="479" t="s">
        <v>141</v>
      </c>
      <c r="L329" s="543" t="s">
        <v>16</v>
      </c>
      <c r="M329" s="543" t="s">
        <v>29</v>
      </c>
      <c r="N329" s="545">
        <v>0</v>
      </c>
      <c r="O329" s="637"/>
      <c r="P329" s="545">
        <v>0</v>
      </c>
      <c r="Q329" s="545">
        <v>0</v>
      </c>
      <c r="R329" s="545">
        <v>0</v>
      </c>
      <c r="S329" s="545">
        <v>0</v>
      </c>
      <c r="W329" s="33"/>
      <c r="X329" s="33"/>
      <c r="Y329" s="33"/>
    </row>
    <row r="330" spans="1:25" s="18" customFormat="1" ht="60">
      <c r="A330" s="538" t="s">
        <v>685</v>
      </c>
      <c r="B330" s="559">
        <v>1068</v>
      </c>
      <c r="C330" s="1341" t="s">
        <v>40</v>
      </c>
      <c r="D330" s="1341" t="s">
        <v>1216</v>
      </c>
      <c r="E330" s="1341" t="s">
        <v>1159</v>
      </c>
      <c r="F330" s="560" t="s">
        <v>24</v>
      </c>
      <c r="G330" s="538" t="s">
        <v>24</v>
      </c>
      <c r="H330" s="538" t="s">
        <v>24</v>
      </c>
      <c r="I330" s="538" t="s">
        <v>24</v>
      </c>
      <c r="J330" s="538" t="s">
        <v>24</v>
      </c>
      <c r="K330" s="538" t="s">
        <v>24</v>
      </c>
      <c r="L330" s="559" t="s">
        <v>31</v>
      </c>
      <c r="M330" s="559" t="s">
        <v>25</v>
      </c>
      <c r="N330" s="561">
        <f t="shared" ref="N330:S330" si="46">SUM(N331:N350)</f>
        <v>65942.505999999994</v>
      </c>
      <c r="O330" s="561">
        <f t="shared" si="46"/>
        <v>65879.456000000006</v>
      </c>
      <c r="P330" s="561">
        <f t="shared" si="46"/>
        <v>81618.081000000006</v>
      </c>
      <c r="Q330" s="561">
        <f t="shared" si="46"/>
        <v>9291.1</v>
      </c>
      <c r="R330" s="561">
        <f t="shared" si="46"/>
        <v>10503.6</v>
      </c>
      <c r="S330" s="561">
        <f t="shared" si="46"/>
        <v>10698.2</v>
      </c>
      <c r="W330" s="19"/>
      <c r="X330" s="19"/>
      <c r="Y330" s="19"/>
    </row>
    <row r="331" spans="1:25" s="18" customFormat="1" ht="27" customHeight="1">
      <c r="A331" s="562" t="s">
        <v>686</v>
      </c>
      <c r="B331" s="563"/>
      <c r="C331" s="1753" t="s">
        <v>420</v>
      </c>
      <c r="D331" s="1753" t="s">
        <v>1382</v>
      </c>
      <c r="E331" s="1755" t="s">
        <v>1383</v>
      </c>
      <c r="F331" s="1593" t="s">
        <v>1384</v>
      </c>
      <c r="G331" s="1593" t="s">
        <v>62</v>
      </c>
      <c r="H331" s="1593" t="s">
        <v>422</v>
      </c>
      <c r="I331" s="331"/>
      <c r="J331" s="331"/>
      <c r="K331" s="332"/>
      <c r="L331" s="563"/>
      <c r="M331" s="563"/>
      <c r="N331" s="334"/>
      <c r="O331" s="1507"/>
      <c r="P331" s="334"/>
      <c r="Q331" s="1525"/>
      <c r="R331" s="1525"/>
      <c r="S331" s="1525"/>
      <c r="W331" s="19"/>
      <c r="X331" s="19"/>
      <c r="Y331" s="19"/>
    </row>
    <row r="332" spans="1:25" s="18" customFormat="1" ht="63.75" customHeight="1">
      <c r="A332" s="125" t="s">
        <v>762</v>
      </c>
      <c r="B332" s="16"/>
      <c r="C332" s="1754"/>
      <c r="D332" s="1754"/>
      <c r="E332" s="1756"/>
      <c r="F332" s="1752"/>
      <c r="G332" s="1752"/>
      <c r="H332" s="1752"/>
      <c r="I332" s="5" t="s">
        <v>1217</v>
      </c>
      <c r="J332" s="5" t="s">
        <v>48</v>
      </c>
      <c r="K332" s="6" t="s">
        <v>555</v>
      </c>
      <c r="L332" s="16"/>
      <c r="M332" s="16"/>
      <c r="N332" s="127"/>
      <c r="O332" s="134"/>
      <c r="P332" s="127"/>
      <c r="Q332" s="314"/>
      <c r="R332" s="314"/>
      <c r="S332" s="314"/>
      <c r="W332" s="19"/>
      <c r="X332" s="19"/>
      <c r="Y332" s="19"/>
    </row>
    <row r="333" spans="1:25" s="18" customFormat="1" ht="61.5" customHeight="1">
      <c r="A333" s="1681" t="s">
        <v>763</v>
      </c>
      <c r="B333" s="16"/>
      <c r="C333" s="306"/>
      <c r="D333" s="306"/>
      <c r="E333" s="564"/>
      <c r="F333" s="225"/>
      <c r="G333" s="306"/>
      <c r="H333" s="306"/>
      <c r="I333" s="306" t="s">
        <v>89</v>
      </c>
      <c r="J333" s="306" t="s">
        <v>48</v>
      </c>
      <c r="K333" s="306" t="s">
        <v>80</v>
      </c>
      <c r="L333" s="16"/>
      <c r="M333" s="16"/>
      <c r="N333" s="127">
        <v>18899.892</v>
      </c>
      <c r="O333" s="134">
        <v>18899.892</v>
      </c>
      <c r="P333" s="127">
        <f>18365.6+1713.105</f>
        <v>20078.704999999998</v>
      </c>
      <c r="Q333" s="314">
        <f>960.7+8330.4</f>
        <v>9291.1</v>
      </c>
      <c r="R333" s="314">
        <f>1966.4+8537.2</f>
        <v>10503.6</v>
      </c>
      <c r="S333" s="314">
        <f>1982.5+8715.7</f>
        <v>10698.2</v>
      </c>
      <c r="W333" s="19"/>
      <c r="X333" s="19"/>
      <c r="Y333" s="19"/>
    </row>
    <row r="334" spans="1:25" s="18" customFormat="1" ht="61.5" customHeight="1">
      <c r="A334" s="1681"/>
      <c r="B334" s="16"/>
      <c r="C334" s="306"/>
      <c r="D334" s="306"/>
      <c r="E334" s="306"/>
      <c r="F334" s="225"/>
      <c r="G334" s="306"/>
      <c r="H334" s="306"/>
      <c r="I334" s="5" t="s">
        <v>280</v>
      </c>
      <c r="J334" s="214" t="s">
        <v>48</v>
      </c>
      <c r="K334" s="6" t="s">
        <v>281</v>
      </c>
      <c r="L334" s="16"/>
      <c r="M334" s="16"/>
      <c r="N334" s="127"/>
      <c r="O334" s="134"/>
      <c r="P334" s="127"/>
      <c r="Q334" s="314"/>
      <c r="R334" s="314"/>
      <c r="S334" s="314"/>
      <c r="W334" s="19"/>
      <c r="X334" s="19"/>
      <c r="Y334" s="19"/>
    </row>
    <row r="335" spans="1:25" s="18" customFormat="1" ht="63.75" customHeight="1">
      <c r="A335" s="1681"/>
      <c r="B335" s="16"/>
      <c r="C335" s="306"/>
      <c r="D335" s="306"/>
      <c r="E335" s="306"/>
      <c r="F335" s="225"/>
      <c r="G335" s="306"/>
      <c r="H335" s="306"/>
      <c r="I335" s="306" t="s">
        <v>90</v>
      </c>
      <c r="J335" s="306" t="s">
        <v>48</v>
      </c>
      <c r="K335" s="306" t="s">
        <v>80</v>
      </c>
      <c r="L335" s="16"/>
      <c r="M335" s="16"/>
      <c r="N335" s="127"/>
      <c r="O335" s="134"/>
      <c r="P335" s="127"/>
      <c r="Q335" s="314"/>
      <c r="R335" s="314"/>
      <c r="S335" s="314"/>
      <c r="W335" s="19"/>
      <c r="X335" s="19"/>
      <c r="Y335" s="19"/>
    </row>
    <row r="336" spans="1:25" s="18" customFormat="1" ht="87" customHeight="1">
      <c r="A336" s="1681"/>
      <c r="B336" s="16"/>
      <c r="C336" s="306"/>
      <c r="D336" s="306"/>
      <c r="E336" s="306"/>
      <c r="F336" s="225"/>
      <c r="G336" s="306"/>
      <c r="H336" s="306"/>
      <c r="I336" s="306" t="s">
        <v>91</v>
      </c>
      <c r="J336" s="306" t="s">
        <v>48</v>
      </c>
      <c r="K336" s="306" t="s">
        <v>80</v>
      </c>
      <c r="L336" s="16"/>
      <c r="M336" s="16"/>
      <c r="N336" s="127"/>
      <c r="O336" s="134"/>
      <c r="P336" s="127"/>
      <c r="Q336" s="314"/>
      <c r="R336" s="314"/>
      <c r="S336" s="314"/>
      <c r="W336" s="19"/>
      <c r="X336" s="19"/>
      <c r="Y336" s="19"/>
    </row>
    <row r="337" spans="1:25" s="18" customFormat="1" ht="61.5" customHeight="1">
      <c r="A337" s="1681"/>
      <c r="B337" s="16"/>
      <c r="C337" s="306"/>
      <c r="D337" s="306"/>
      <c r="E337" s="306"/>
      <c r="F337" s="225"/>
      <c r="G337" s="306"/>
      <c r="H337" s="306"/>
      <c r="I337" s="306" t="s">
        <v>551</v>
      </c>
      <c r="J337" s="306" t="s">
        <v>48</v>
      </c>
      <c r="K337" s="306" t="s">
        <v>305</v>
      </c>
      <c r="L337" s="16"/>
      <c r="M337" s="16"/>
      <c r="N337" s="127"/>
      <c r="O337" s="134"/>
      <c r="P337" s="127"/>
      <c r="Q337" s="314"/>
      <c r="R337" s="314"/>
      <c r="S337" s="314"/>
      <c r="W337" s="19"/>
      <c r="X337" s="19"/>
      <c r="Y337" s="19"/>
    </row>
    <row r="338" spans="1:25" s="18" customFormat="1" ht="38.25" customHeight="1">
      <c r="A338" s="1681"/>
      <c r="B338" s="16"/>
      <c r="C338" s="306"/>
      <c r="D338" s="306"/>
      <c r="E338" s="306"/>
      <c r="F338" s="225"/>
      <c r="G338" s="306"/>
      <c r="H338" s="306"/>
      <c r="I338" s="306" t="s">
        <v>278</v>
      </c>
      <c r="J338" s="306" t="s">
        <v>48</v>
      </c>
      <c r="K338" s="306" t="s">
        <v>51</v>
      </c>
      <c r="L338" s="16"/>
      <c r="M338" s="16"/>
      <c r="N338" s="127"/>
      <c r="O338" s="134"/>
      <c r="P338" s="127"/>
      <c r="Q338" s="314"/>
      <c r="R338" s="314"/>
      <c r="S338" s="314"/>
      <c r="W338" s="19"/>
      <c r="X338" s="19"/>
      <c r="Y338" s="19"/>
    </row>
    <row r="339" spans="1:25" s="18" customFormat="1" ht="137.25" customHeight="1">
      <c r="A339" s="1681"/>
      <c r="B339" s="1446" t="s">
        <v>678</v>
      </c>
      <c r="C339" s="306"/>
      <c r="D339" s="306"/>
      <c r="E339" s="564"/>
      <c r="F339" s="565" t="s">
        <v>1097</v>
      </c>
      <c r="G339" s="1396" t="s">
        <v>459</v>
      </c>
      <c r="H339" s="1396" t="s">
        <v>1379</v>
      </c>
      <c r="I339" s="1396" t="s">
        <v>1681</v>
      </c>
      <c r="J339" s="1396" t="s">
        <v>48</v>
      </c>
      <c r="K339" s="1396" t="s">
        <v>893</v>
      </c>
      <c r="L339" s="537"/>
      <c r="M339" s="537"/>
      <c r="N339" s="134">
        <v>28.337</v>
      </c>
      <c r="O339" s="134">
        <v>28.337</v>
      </c>
      <c r="P339" s="134"/>
      <c r="Q339" s="519"/>
      <c r="R339" s="519"/>
      <c r="S339" s="519"/>
      <c r="W339" s="19"/>
      <c r="X339" s="19"/>
      <c r="Y339" s="19"/>
    </row>
    <row r="340" spans="1:25" s="9" customFormat="1" ht="162" customHeight="1">
      <c r="A340" s="1681"/>
      <c r="B340" s="7" t="s">
        <v>88</v>
      </c>
      <c r="C340" s="306"/>
      <c r="D340" s="306"/>
      <c r="E340" s="564"/>
      <c r="F340" s="565"/>
      <c r="G340" s="565" t="s">
        <v>1186</v>
      </c>
      <c r="H340" s="565"/>
      <c r="I340" s="1437" t="s">
        <v>1071</v>
      </c>
      <c r="J340" s="1437"/>
      <c r="K340" s="1437" t="s">
        <v>1218</v>
      </c>
      <c r="L340" s="204"/>
      <c r="M340" s="204"/>
      <c r="N340" s="127">
        <v>46627.1</v>
      </c>
      <c r="O340" s="134">
        <v>46564.05</v>
      </c>
      <c r="P340" s="127">
        <v>52885.5</v>
      </c>
      <c r="Q340" s="314"/>
      <c r="R340" s="314"/>
      <c r="S340" s="314"/>
      <c r="W340" s="33"/>
      <c r="X340" s="33"/>
      <c r="Y340" s="33"/>
    </row>
    <row r="341" spans="1:25" s="9" customFormat="1" ht="27.75" customHeight="1">
      <c r="A341" s="1262" t="s">
        <v>1682</v>
      </c>
      <c r="B341" s="283" t="s">
        <v>523</v>
      </c>
      <c r="C341" s="1262"/>
      <c r="D341" s="1262"/>
      <c r="E341" s="1262"/>
      <c r="F341" s="1757" t="s">
        <v>1097</v>
      </c>
      <c r="G341" s="1667" t="s">
        <v>1099</v>
      </c>
      <c r="H341" s="1406" t="s">
        <v>1189</v>
      </c>
      <c r="I341" s="1758" t="s">
        <v>1095</v>
      </c>
      <c r="J341" s="1406" t="s">
        <v>48</v>
      </c>
      <c r="K341" s="1406" t="s">
        <v>1096</v>
      </c>
      <c r="L341" s="1445"/>
      <c r="M341" s="1445"/>
      <c r="N341" s="1232">
        <v>100</v>
      </c>
      <c r="O341" s="1232">
        <v>100</v>
      </c>
      <c r="P341" s="1232">
        <v>100</v>
      </c>
      <c r="Q341" s="1232"/>
      <c r="R341" s="1232"/>
      <c r="S341" s="1232"/>
      <c r="W341" s="33"/>
      <c r="X341" s="33"/>
      <c r="Y341" s="33"/>
    </row>
    <row r="342" spans="1:25" s="9" customFormat="1" ht="27.75" customHeight="1">
      <c r="A342" s="1262"/>
      <c r="B342" s="283" t="s">
        <v>1090</v>
      </c>
      <c r="C342" s="1262"/>
      <c r="D342" s="1262"/>
      <c r="E342" s="1262"/>
      <c r="F342" s="1757"/>
      <c r="G342" s="1667"/>
      <c r="H342" s="1406"/>
      <c r="I342" s="1758"/>
      <c r="J342" s="1406"/>
      <c r="K342" s="1406"/>
      <c r="L342" s="1445"/>
      <c r="M342" s="1445"/>
      <c r="N342" s="1232">
        <v>3.093</v>
      </c>
      <c r="O342" s="1232">
        <v>3.093</v>
      </c>
      <c r="P342" s="1232">
        <v>12.36</v>
      </c>
      <c r="Q342" s="1232"/>
      <c r="R342" s="1232"/>
      <c r="S342" s="1232"/>
      <c r="W342" s="33"/>
      <c r="X342" s="33"/>
      <c r="Y342" s="33"/>
    </row>
    <row r="343" spans="1:25" s="18" customFormat="1" ht="64.5" customHeight="1">
      <c r="A343" s="1588" t="s">
        <v>1683</v>
      </c>
      <c r="B343" s="1285"/>
      <c r="C343" s="1406"/>
      <c r="D343" s="1406"/>
      <c r="E343" s="1286"/>
      <c r="F343" s="1757"/>
      <c r="G343" s="1406" t="s">
        <v>1099</v>
      </c>
      <c r="H343" s="1406"/>
      <c r="I343" s="1406" t="s">
        <v>296</v>
      </c>
      <c r="J343" s="1406" t="s">
        <v>48</v>
      </c>
      <c r="K343" s="1406" t="s">
        <v>80</v>
      </c>
      <c r="L343" s="1285"/>
      <c r="M343" s="1285"/>
      <c r="N343" s="1232"/>
      <c r="O343" s="1232"/>
      <c r="P343" s="1232"/>
      <c r="Q343" s="1232"/>
      <c r="R343" s="1232"/>
      <c r="S343" s="1232"/>
      <c r="W343" s="19"/>
      <c r="X343" s="19"/>
      <c r="Y343" s="19"/>
    </row>
    <row r="344" spans="1:25" s="18" customFormat="1" ht="53.25" hidden="1" customHeight="1">
      <c r="A344" s="1588"/>
      <c r="B344" s="283" t="s">
        <v>678</v>
      </c>
      <c r="C344" s="1262"/>
      <c r="D344" s="1262"/>
      <c r="E344" s="1262"/>
      <c r="F344" s="1444" t="s">
        <v>458</v>
      </c>
      <c r="G344" s="1445" t="s">
        <v>459</v>
      </c>
      <c r="H344" s="1406" t="s">
        <v>472</v>
      </c>
      <c r="I344" s="1406" t="s">
        <v>921</v>
      </c>
      <c r="J344" s="1406" t="s">
        <v>48</v>
      </c>
      <c r="K344" s="1406" t="s">
        <v>893</v>
      </c>
      <c r="L344" s="1285"/>
      <c r="M344" s="1285"/>
      <c r="N344" s="1232"/>
      <c r="O344" s="1232"/>
      <c r="P344" s="1232"/>
      <c r="Q344" s="1232"/>
      <c r="R344" s="1232"/>
      <c r="S344" s="1232"/>
      <c r="W344" s="19"/>
      <c r="X344" s="19"/>
      <c r="Y344" s="19"/>
    </row>
    <row r="345" spans="1:25" s="9" customFormat="1" ht="52.5" customHeight="1">
      <c r="A345" s="1588"/>
      <c r="B345" s="283" t="s">
        <v>542</v>
      </c>
      <c r="C345" s="1262"/>
      <c r="D345" s="1262"/>
      <c r="E345" s="1262"/>
      <c r="F345" s="1406"/>
      <c r="G345" s="1406"/>
      <c r="H345" s="1406"/>
      <c r="I345" s="1758" t="s">
        <v>1049</v>
      </c>
      <c r="J345" s="1758" t="s">
        <v>48</v>
      </c>
      <c r="K345" s="1406" t="s">
        <v>1108</v>
      </c>
      <c r="L345" s="283"/>
      <c r="M345" s="283"/>
      <c r="N345" s="1232">
        <v>234.79599999999999</v>
      </c>
      <c r="O345" s="1232">
        <v>234.79599999999999</v>
      </c>
      <c r="P345" s="1232">
        <v>253.89</v>
      </c>
      <c r="Q345" s="1232"/>
      <c r="R345" s="1232"/>
      <c r="S345" s="1232"/>
      <c r="W345" s="33"/>
      <c r="X345" s="33"/>
      <c r="Y345" s="33"/>
    </row>
    <row r="346" spans="1:25" s="9" customFormat="1" ht="52.5" customHeight="1">
      <c r="A346" s="1588"/>
      <c r="B346" s="283"/>
      <c r="C346" s="1262"/>
      <c r="D346" s="1262"/>
      <c r="E346" s="1262"/>
      <c r="F346" s="1406"/>
      <c r="G346" s="1406"/>
      <c r="H346" s="1406"/>
      <c r="I346" s="1758"/>
      <c r="J346" s="1758"/>
      <c r="K346" s="1406"/>
      <c r="L346" s="283"/>
      <c r="M346" s="283"/>
      <c r="N346" s="1232">
        <v>14.204000000000001</v>
      </c>
      <c r="O346" s="1232">
        <v>14.204000000000001</v>
      </c>
      <c r="P346" s="1232">
        <v>8.8230000000000004</v>
      </c>
      <c r="Q346" s="1232"/>
      <c r="R346" s="1232"/>
      <c r="S346" s="1232"/>
      <c r="W346" s="33"/>
      <c r="X346" s="33"/>
      <c r="Y346" s="33"/>
    </row>
    <row r="347" spans="1:25" s="9" customFormat="1" ht="66.75" customHeight="1">
      <c r="A347" s="1588"/>
      <c r="B347" s="283" t="s">
        <v>543</v>
      </c>
      <c r="C347" s="1262"/>
      <c r="D347" s="1262"/>
      <c r="E347" s="1262"/>
      <c r="F347" s="1406"/>
      <c r="G347" s="1406"/>
      <c r="H347" s="1406"/>
      <c r="I347" s="1758"/>
      <c r="J347" s="1758"/>
      <c r="K347" s="1406"/>
      <c r="L347" s="283"/>
      <c r="M347" s="283"/>
      <c r="N347" s="1232">
        <v>35.084000000000003</v>
      </c>
      <c r="O347" s="1232">
        <v>35.084000000000003</v>
      </c>
      <c r="P347" s="1232">
        <v>31.38</v>
      </c>
      <c r="Q347" s="1232"/>
      <c r="R347" s="1232"/>
      <c r="S347" s="1232"/>
      <c r="W347" s="33"/>
      <c r="X347" s="33"/>
      <c r="Y347" s="33"/>
    </row>
    <row r="348" spans="1:25" s="9" customFormat="1" ht="27.75" customHeight="1">
      <c r="A348" s="1262" t="s">
        <v>1684</v>
      </c>
      <c r="B348" s="283" t="s">
        <v>1065</v>
      </c>
      <c r="C348" s="1262"/>
      <c r="D348" s="1262"/>
      <c r="E348" s="1262"/>
      <c r="F348" s="1406"/>
      <c r="G348" s="1406" t="s">
        <v>1219</v>
      </c>
      <c r="H348" s="1406" t="s">
        <v>1214</v>
      </c>
      <c r="I348" s="1758" t="s">
        <v>1066</v>
      </c>
      <c r="J348" s="1758" t="s">
        <v>48</v>
      </c>
      <c r="K348" s="1758" t="s">
        <v>1067</v>
      </c>
      <c r="L348" s="283" t="s">
        <v>31</v>
      </c>
      <c r="M348" s="283" t="s">
        <v>25</v>
      </c>
      <c r="N348" s="1232">
        <v>0</v>
      </c>
      <c r="O348" s="1232">
        <v>0</v>
      </c>
      <c r="P348" s="1232">
        <v>7840</v>
      </c>
      <c r="Q348" s="1232"/>
      <c r="R348" s="1232"/>
      <c r="S348" s="1232"/>
      <c r="W348" s="33"/>
      <c r="X348" s="33"/>
      <c r="Y348" s="33"/>
    </row>
    <row r="349" spans="1:25" s="9" customFormat="1" ht="27.75" customHeight="1">
      <c r="A349" s="1262"/>
      <c r="B349" s="283" t="s">
        <v>1109</v>
      </c>
      <c r="C349" s="1262"/>
      <c r="D349" s="1262"/>
      <c r="E349" s="1262"/>
      <c r="F349" s="1406"/>
      <c r="G349" s="1406"/>
      <c r="H349" s="1406"/>
      <c r="I349" s="1758"/>
      <c r="J349" s="1758"/>
      <c r="K349" s="1758"/>
      <c r="L349" s="283"/>
      <c r="M349" s="283"/>
      <c r="N349" s="1232">
        <v>0</v>
      </c>
      <c r="O349" s="1232">
        <v>0</v>
      </c>
      <c r="P349" s="1232">
        <v>160</v>
      </c>
      <c r="Q349" s="1232"/>
      <c r="R349" s="1232"/>
      <c r="S349" s="1232"/>
      <c r="W349" s="33"/>
      <c r="X349" s="33"/>
      <c r="Y349" s="33"/>
    </row>
    <row r="350" spans="1:25" s="9" customFormat="1" ht="27.75" customHeight="1">
      <c r="A350" s="1287"/>
      <c r="B350" s="1288" t="s">
        <v>1062</v>
      </c>
      <c r="C350" s="1287"/>
      <c r="D350" s="1287"/>
      <c r="E350" s="1287"/>
      <c r="F350" s="1407"/>
      <c r="G350" s="1407"/>
      <c r="H350" s="1407"/>
      <c r="I350" s="1716"/>
      <c r="J350" s="1716"/>
      <c r="K350" s="1716"/>
      <c r="L350" s="1288" t="s">
        <v>31</v>
      </c>
      <c r="M350" s="1288" t="s">
        <v>25</v>
      </c>
      <c r="N350" s="1289">
        <v>0</v>
      </c>
      <c r="O350" s="1289">
        <v>0</v>
      </c>
      <c r="P350" s="1289">
        <v>247.423</v>
      </c>
      <c r="Q350" s="1289"/>
      <c r="R350" s="1289"/>
      <c r="S350" s="1289"/>
      <c r="W350" s="33"/>
      <c r="X350" s="33"/>
      <c r="Y350" s="33"/>
    </row>
    <row r="351" spans="1:25" s="18" customFormat="1" ht="84">
      <c r="A351" s="1281" t="s">
        <v>521</v>
      </c>
      <c r="B351" s="1282" t="s">
        <v>522</v>
      </c>
      <c r="C351" s="1393" t="s">
        <v>40</v>
      </c>
      <c r="D351" s="1393" t="s">
        <v>1385</v>
      </c>
      <c r="E351" s="1393" t="s">
        <v>1159</v>
      </c>
      <c r="F351" s="1283"/>
      <c r="G351" s="1283"/>
      <c r="H351" s="1283"/>
      <c r="I351" s="1486"/>
      <c r="J351" s="1486"/>
      <c r="K351" s="1486"/>
      <c r="L351" s="1282" t="s">
        <v>27</v>
      </c>
      <c r="M351" s="1282" t="s">
        <v>32</v>
      </c>
      <c r="N351" s="1284">
        <f>SUM(N352:N354)</f>
        <v>18.8</v>
      </c>
      <c r="O351" s="1284">
        <f t="shared" ref="O351" si="47">SUM(O352:O354)</f>
        <v>18.8</v>
      </c>
      <c r="P351" s="1284">
        <f>SUM(P352:P356)</f>
        <v>26.000000000000171</v>
      </c>
      <c r="Q351" s="1284">
        <f t="shared" ref="Q351:S351" si="48">SUM(Q352:Q356)</f>
        <v>7141.9</v>
      </c>
      <c r="R351" s="1284">
        <f t="shared" si="48"/>
        <v>0</v>
      </c>
      <c r="S351" s="1284">
        <f t="shared" si="48"/>
        <v>0</v>
      </c>
      <c r="W351" s="19"/>
      <c r="X351" s="19"/>
      <c r="Y351" s="19"/>
    </row>
    <row r="352" spans="1:25" s="18" customFormat="1" ht="12" customHeight="1">
      <c r="A352" s="575" t="s">
        <v>689</v>
      </c>
      <c r="B352" s="1480"/>
      <c r="C352" s="576"/>
      <c r="D352" s="577"/>
      <c r="E352" s="576"/>
      <c r="F352" s="578"/>
      <c r="G352" s="579"/>
      <c r="H352" s="578"/>
      <c r="I352" s="580"/>
      <c r="J352" s="165"/>
      <c r="K352" s="581"/>
      <c r="L352" s="1476"/>
      <c r="M352" s="1476"/>
      <c r="N352" s="582"/>
      <c r="O352" s="1503"/>
      <c r="P352" s="81"/>
      <c r="Q352" s="81"/>
      <c r="R352" s="81"/>
      <c r="S352" s="81"/>
      <c r="W352" s="19"/>
      <c r="X352" s="19"/>
      <c r="Y352" s="19"/>
    </row>
    <row r="353" spans="1:25" s="18" customFormat="1" ht="36">
      <c r="A353" s="583" t="s">
        <v>1111</v>
      </c>
      <c r="B353" s="584"/>
      <c r="C353" s="585"/>
      <c r="D353" s="586"/>
      <c r="E353" s="585"/>
      <c r="F353" s="587"/>
      <c r="G353" s="588"/>
      <c r="H353" s="587"/>
      <c r="I353" s="1758" t="s">
        <v>1050</v>
      </c>
      <c r="J353" s="1758" t="s">
        <v>48</v>
      </c>
      <c r="K353" s="1758" t="s">
        <v>849</v>
      </c>
      <c r="L353" s="244"/>
      <c r="M353" s="244"/>
      <c r="N353" s="501"/>
      <c r="O353" s="419"/>
      <c r="P353" s="419"/>
      <c r="Q353" s="419"/>
      <c r="R353" s="419"/>
      <c r="S353" s="419"/>
      <c r="W353" s="19"/>
      <c r="X353" s="19"/>
      <c r="Y353" s="19"/>
    </row>
    <row r="354" spans="1:25" s="18" customFormat="1" ht="49.5" customHeight="1">
      <c r="A354" s="583" t="s">
        <v>1685</v>
      </c>
      <c r="B354" s="584"/>
      <c r="C354" s="585"/>
      <c r="D354" s="586"/>
      <c r="E354" s="585"/>
      <c r="F354" s="587"/>
      <c r="G354" s="588"/>
      <c r="H354" s="587"/>
      <c r="I354" s="1758"/>
      <c r="J354" s="1758"/>
      <c r="K354" s="1758"/>
      <c r="L354" s="244"/>
      <c r="M354" s="244"/>
      <c r="N354" s="501">
        <v>18.8</v>
      </c>
      <c r="O354" s="419">
        <v>18.8</v>
      </c>
      <c r="P354" s="84">
        <f>3104.311-300-350-1894.723-200.35-333.238</f>
        <v>26.000000000000171</v>
      </c>
      <c r="Q354" s="84">
        <v>7141.9</v>
      </c>
      <c r="R354" s="84">
        <v>0</v>
      </c>
      <c r="S354" s="84">
        <v>0</v>
      </c>
      <c r="W354" s="19"/>
      <c r="X354" s="19"/>
      <c r="Y354" s="19"/>
    </row>
    <row r="355" spans="1:25" s="18" customFormat="1" ht="84.75" customHeight="1">
      <c r="A355" s="171" t="s">
        <v>1110</v>
      </c>
      <c r="B355" s="584"/>
      <c r="C355" s="585"/>
      <c r="D355" s="586"/>
      <c r="E355" s="585"/>
      <c r="F355" s="587"/>
      <c r="G355" s="588"/>
      <c r="H355" s="587"/>
      <c r="I355" s="590" t="s">
        <v>1324</v>
      </c>
      <c r="J355" s="1234" t="s">
        <v>48</v>
      </c>
      <c r="K355" s="591" t="s">
        <v>1220</v>
      </c>
      <c r="L355" s="244"/>
      <c r="M355" s="244"/>
      <c r="N355" s="501"/>
      <c r="O355" s="501"/>
      <c r="P355" s="501"/>
      <c r="Q355" s="501"/>
      <c r="R355" s="501"/>
      <c r="S355" s="501"/>
      <c r="W355" s="19"/>
      <c r="X355" s="19"/>
      <c r="Y355" s="19"/>
    </row>
    <row r="356" spans="1:25" s="18" customFormat="1" ht="30" customHeight="1">
      <c r="A356" s="171" t="s">
        <v>1112</v>
      </c>
      <c r="B356" s="1463" t="s">
        <v>964</v>
      </c>
      <c r="C356" s="585"/>
      <c r="D356" s="592"/>
      <c r="E356" s="585"/>
      <c r="F356" s="593"/>
      <c r="G356" s="588"/>
      <c r="H356" s="593"/>
      <c r="I356" s="590" t="s">
        <v>1113</v>
      </c>
      <c r="J356" s="1234"/>
      <c r="K356" s="591"/>
      <c r="L356" s="1463"/>
      <c r="M356" s="1463"/>
      <c r="N356" s="501">
        <v>0</v>
      </c>
      <c r="O356" s="501">
        <v>0</v>
      </c>
      <c r="P356" s="501">
        <v>0</v>
      </c>
      <c r="Q356" s="501"/>
      <c r="R356" s="501"/>
      <c r="S356" s="501"/>
      <c r="W356" s="19"/>
      <c r="X356" s="19"/>
      <c r="Y356" s="19"/>
    </row>
    <row r="357" spans="1:25" s="9" customFormat="1" ht="53.25" hidden="1" customHeight="1">
      <c r="A357" s="594" t="s">
        <v>532</v>
      </c>
      <c r="B357" s="595" t="s">
        <v>586</v>
      </c>
      <c r="C357" s="596"/>
      <c r="D357" s="596"/>
      <c r="E357" s="596"/>
      <c r="F357" s="597"/>
      <c r="G357" s="597"/>
      <c r="H357" s="597"/>
      <c r="I357" s="598" t="s">
        <v>60</v>
      </c>
      <c r="J357" s="599" t="s">
        <v>48</v>
      </c>
      <c r="K357" s="600" t="s">
        <v>51</v>
      </c>
      <c r="L357" s="595" t="s">
        <v>29</v>
      </c>
      <c r="M357" s="595" t="s">
        <v>27</v>
      </c>
      <c r="N357" s="601"/>
      <c r="O357" s="1526"/>
      <c r="P357" s="601"/>
      <c r="Q357" s="601"/>
      <c r="R357" s="601"/>
      <c r="S357" s="601"/>
      <c r="W357" s="33"/>
      <c r="X357" s="33"/>
      <c r="Y357" s="33"/>
    </row>
    <row r="358" spans="1:25" s="18" customFormat="1" ht="53.25" hidden="1" customHeight="1">
      <c r="A358" s="56" t="s">
        <v>450</v>
      </c>
      <c r="B358" s="323" t="s">
        <v>451</v>
      </c>
      <c r="C358" s="602"/>
      <c r="D358" s="602"/>
      <c r="E358" s="602"/>
      <c r="F358" s="603"/>
      <c r="G358" s="603"/>
      <c r="H358" s="603"/>
      <c r="I358" s="604" t="s">
        <v>546</v>
      </c>
      <c r="J358" s="604" t="s">
        <v>48</v>
      </c>
      <c r="K358" s="604" t="s">
        <v>487</v>
      </c>
      <c r="L358" s="323" t="s">
        <v>29</v>
      </c>
      <c r="M358" s="323" t="s">
        <v>27</v>
      </c>
      <c r="N358" s="605">
        <v>0</v>
      </c>
      <c r="O358" s="1527"/>
      <c r="P358" s="605">
        <v>0</v>
      </c>
      <c r="Q358" s="605">
        <v>0</v>
      </c>
      <c r="R358" s="605">
        <v>0</v>
      </c>
      <c r="S358" s="605">
        <v>0</v>
      </c>
      <c r="W358" s="19"/>
      <c r="X358" s="19"/>
      <c r="Y358" s="19"/>
    </row>
    <row r="359" spans="1:25" s="18" customFormat="1" ht="53.25" hidden="1" customHeight="1">
      <c r="A359" s="606"/>
      <c r="B359" s="607"/>
      <c r="C359" s="608"/>
      <c r="D359" s="608"/>
      <c r="E359" s="608"/>
      <c r="F359" s="609"/>
      <c r="G359" s="609"/>
      <c r="H359" s="609"/>
      <c r="I359" s="610" t="s">
        <v>488</v>
      </c>
      <c r="J359" s="610" t="s">
        <v>48</v>
      </c>
      <c r="K359" s="610" t="s">
        <v>489</v>
      </c>
      <c r="L359" s="607"/>
      <c r="M359" s="607"/>
      <c r="N359" s="611"/>
      <c r="O359" s="1526"/>
      <c r="P359" s="611"/>
      <c r="Q359" s="611"/>
      <c r="R359" s="611"/>
      <c r="S359" s="611"/>
      <c r="W359" s="19"/>
      <c r="X359" s="19"/>
      <c r="Y359" s="19"/>
    </row>
    <row r="360" spans="1:25" s="18" customFormat="1" ht="53.25" hidden="1" customHeight="1">
      <c r="A360" s="357"/>
      <c r="B360" s="612"/>
      <c r="C360" s="613"/>
      <c r="D360" s="613"/>
      <c r="E360" s="613"/>
      <c r="F360" s="614"/>
      <c r="G360" s="614"/>
      <c r="H360" s="614"/>
      <c r="I360" s="1412"/>
      <c r="J360" s="1412"/>
      <c r="K360" s="1412"/>
      <c r="L360" s="612"/>
      <c r="M360" s="615"/>
      <c r="N360" s="616"/>
      <c r="O360" s="616"/>
      <c r="P360" s="616"/>
      <c r="Q360" s="616"/>
      <c r="R360" s="616"/>
      <c r="S360" s="616"/>
      <c r="W360" s="19"/>
      <c r="X360" s="19"/>
      <c r="Y360" s="19"/>
    </row>
    <row r="361" spans="1:25" s="18" customFormat="1" ht="58.5" customHeight="1">
      <c r="A361" s="56" t="s">
        <v>329</v>
      </c>
      <c r="B361" s="57" t="s">
        <v>35</v>
      </c>
      <c r="C361" s="57" t="s">
        <v>22</v>
      </c>
      <c r="D361" s="57" t="s">
        <v>22</v>
      </c>
      <c r="E361" s="57" t="s">
        <v>22</v>
      </c>
      <c r="F361" s="1290" t="s">
        <v>22</v>
      </c>
      <c r="G361" s="1290" t="s">
        <v>22</v>
      </c>
      <c r="H361" s="1290" t="s">
        <v>22</v>
      </c>
      <c r="I361" s="57" t="s">
        <v>22</v>
      </c>
      <c r="J361" s="57" t="s">
        <v>22</v>
      </c>
      <c r="K361" s="57" t="s">
        <v>22</v>
      </c>
      <c r="L361" s="57"/>
      <c r="M361" s="58"/>
      <c r="N361" s="59">
        <f t="shared" ref="N361:S361" si="49">N362+N366+N371+N372+N370</f>
        <v>70416.404999999999</v>
      </c>
      <c r="O361" s="1498">
        <f t="shared" si="49"/>
        <v>70416.404999999999</v>
      </c>
      <c r="P361" s="59">
        <f t="shared" si="49"/>
        <v>71959</v>
      </c>
      <c r="Q361" s="59">
        <f t="shared" si="49"/>
        <v>0</v>
      </c>
      <c r="R361" s="59">
        <f t="shared" si="49"/>
        <v>0</v>
      </c>
      <c r="S361" s="59">
        <f t="shared" si="49"/>
        <v>0</v>
      </c>
      <c r="W361" s="19"/>
      <c r="X361" s="19"/>
      <c r="Y361" s="19"/>
    </row>
    <row r="362" spans="1:25" s="18" customFormat="1" ht="72">
      <c r="A362" s="617" t="s">
        <v>1221</v>
      </c>
      <c r="B362" s="618">
        <v>1118</v>
      </c>
      <c r="C362" s="572" t="s">
        <v>40</v>
      </c>
      <c r="D362" s="572" t="s">
        <v>333</v>
      </c>
      <c r="E362" s="572" t="s">
        <v>1159</v>
      </c>
      <c r="F362" s="1440" t="s">
        <v>1389</v>
      </c>
      <c r="G362" s="1440" t="s">
        <v>421</v>
      </c>
      <c r="H362" s="1440" t="s">
        <v>1390</v>
      </c>
      <c r="I362" s="572"/>
      <c r="J362" s="572"/>
      <c r="K362" s="572"/>
      <c r="L362" s="619" t="s">
        <v>31</v>
      </c>
      <c r="M362" s="619" t="s">
        <v>25</v>
      </c>
      <c r="N362" s="620">
        <f t="shared" ref="N362:S362" si="50">SUM(N363:N365)</f>
        <v>16218.2</v>
      </c>
      <c r="O362" s="1506">
        <f t="shared" si="50"/>
        <v>16218.2</v>
      </c>
      <c r="P362" s="620">
        <f t="shared" si="50"/>
        <v>16316.1</v>
      </c>
      <c r="Q362" s="620">
        <f t="shared" si="50"/>
        <v>0</v>
      </c>
      <c r="R362" s="620">
        <f t="shared" si="50"/>
        <v>0</v>
      </c>
      <c r="S362" s="620">
        <f t="shared" si="50"/>
        <v>0</v>
      </c>
      <c r="W362" s="19"/>
      <c r="X362" s="19"/>
      <c r="Y362" s="19"/>
    </row>
    <row r="363" spans="1:25" s="18" customFormat="1" ht="66" customHeight="1">
      <c r="A363" s="1342" t="s">
        <v>869</v>
      </c>
      <c r="B363" s="1488"/>
      <c r="C363" s="621" t="s">
        <v>1386</v>
      </c>
      <c r="D363" s="621" t="s">
        <v>1387</v>
      </c>
      <c r="E363" s="621" t="s">
        <v>1388</v>
      </c>
      <c r="F363" s="1436"/>
      <c r="G363" s="1436"/>
      <c r="H363" s="1436"/>
      <c r="I363" s="1428" t="s">
        <v>1217</v>
      </c>
      <c r="J363" s="1428" t="s">
        <v>48</v>
      </c>
      <c r="K363" s="1460" t="s">
        <v>555</v>
      </c>
      <c r="L363" s="622"/>
      <c r="M363" s="622"/>
      <c r="N363" s="623"/>
      <c r="O363" s="1509"/>
      <c r="P363" s="1528"/>
      <c r="Q363" s="1529"/>
      <c r="R363" s="1529"/>
      <c r="S363" s="1529"/>
      <c r="W363" s="19"/>
      <c r="X363" s="19"/>
      <c r="Y363" s="19"/>
    </row>
    <row r="364" spans="1:25" s="18" customFormat="1" ht="75" customHeight="1">
      <c r="A364" s="1343" t="s">
        <v>870</v>
      </c>
      <c r="B364" s="395"/>
      <c r="C364" s="1423"/>
      <c r="D364" s="1423"/>
      <c r="E364" s="1423"/>
      <c r="F364" s="1423"/>
      <c r="G364" s="1423"/>
      <c r="H364" s="1423"/>
      <c r="I364" s="1423" t="s">
        <v>1222</v>
      </c>
      <c r="J364" s="1423" t="s">
        <v>48</v>
      </c>
      <c r="K364" s="1423" t="s">
        <v>1223</v>
      </c>
      <c r="L364" s="624"/>
      <c r="M364" s="624"/>
      <c r="N364" s="625">
        <v>16218.2</v>
      </c>
      <c r="O364" s="134">
        <v>16218.2</v>
      </c>
      <c r="P364" s="127">
        <v>16316.1</v>
      </c>
      <c r="Q364" s="314"/>
      <c r="R364" s="314"/>
      <c r="S364" s="314"/>
      <c r="W364" s="19"/>
      <c r="X364" s="19"/>
      <c r="Y364" s="19"/>
    </row>
    <row r="365" spans="1:25" s="18" customFormat="1" ht="87" customHeight="1">
      <c r="A365" s="1344" t="s">
        <v>871</v>
      </c>
      <c r="B365" s="395"/>
      <c r="C365" s="1423"/>
      <c r="D365" s="1423"/>
      <c r="E365" s="1423"/>
      <c r="F365" s="1423"/>
      <c r="G365" s="1423"/>
      <c r="H365" s="1423"/>
      <c r="I365" s="1423" t="s">
        <v>91</v>
      </c>
      <c r="J365" s="1423" t="s">
        <v>48</v>
      </c>
      <c r="K365" s="1423" t="s">
        <v>563</v>
      </c>
      <c r="L365" s="624"/>
      <c r="M365" s="624"/>
      <c r="N365" s="625"/>
      <c r="O365" s="141"/>
      <c r="P365" s="141"/>
      <c r="Q365" s="518"/>
      <c r="R365" s="518"/>
      <c r="S365" s="518"/>
      <c r="W365" s="19"/>
      <c r="X365" s="19"/>
      <c r="Y365" s="19"/>
    </row>
    <row r="366" spans="1:25" s="18" customFormat="1" ht="63" customHeight="1">
      <c r="A366" s="152" t="s">
        <v>1224</v>
      </c>
      <c r="B366" s="409">
        <v>1119</v>
      </c>
      <c r="C366" s="626" t="s">
        <v>40</v>
      </c>
      <c r="D366" s="626" t="s">
        <v>423</v>
      </c>
      <c r="E366" s="626" t="s">
        <v>41</v>
      </c>
      <c r="F366" s="626"/>
      <c r="G366" s="626"/>
      <c r="H366" s="627"/>
      <c r="I366" s="628"/>
      <c r="J366" s="626"/>
      <c r="K366" s="626"/>
      <c r="L366" s="470" t="s">
        <v>31</v>
      </c>
      <c r="M366" s="470" t="s">
        <v>25</v>
      </c>
      <c r="N366" s="629">
        <f t="shared" ref="N366:S366" si="51">SUM(N367:N369)</f>
        <v>54197.205000000002</v>
      </c>
      <c r="O366" s="629">
        <f t="shared" si="51"/>
        <v>54197.205000000002</v>
      </c>
      <c r="P366" s="629">
        <f t="shared" si="51"/>
        <v>55641.9</v>
      </c>
      <c r="Q366" s="412">
        <f t="shared" si="51"/>
        <v>0</v>
      </c>
      <c r="R366" s="412">
        <f t="shared" si="51"/>
        <v>0</v>
      </c>
      <c r="S366" s="1530">
        <f t="shared" si="51"/>
        <v>0</v>
      </c>
      <c r="W366" s="19"/>
      <c r="X366" s="19"/>
      <c r="Y366" s="19"/>
    </row>
    <row r="367" spans="1:25" s="18" customFormat="1" ht="66" customHeight="1">
      <c r="A367" s="461" t="s">
        <v>869</v>
      </c>
      <c r="B367" s="160"/>
      <c r="C367" s="621" t="s">
        <v>1391</v>
      </c>
      <c r="D367" s="621" t="s">
        <v>319</v>
      </c>
      <c r="E367" s="621" t="s">
        <v>1392</v>
      </c>
      <c r="F367" s="1440"/>
      <c r="G367" s="1440"/>
      <c r="H367" s="1440"/>
      <c r="I367" s="139" t="s">
        <v>1217</v>
      </c>
      <c r="J367" s="139" t="s">
        <v>48</v>
      </c>
      <c r="K367" s="220" t="s">
        <v>555</v>
      </c>
      <c r="L367" s="630"/>
      <c r="M367" s="630"/>
      <c r="N367" s="631"/>
      <c r="O367" s="631"/>
      <c r="P367" s="631"/>
      <c r="Q367" s="1531"/>
      <c r="R367" s="1531"/>
      <c r="S367" s="1531"/>
      <c r="W367" s="19"/>
      <c r="X367" s="19"/>
      <c r="Y367" s="19"/>
    </row>
    <row r="368" spans="1:25" s="18" customFormat="1" ht="51.75" customHeight="1">
      <c r="A368" s="125" t="s">
        <v>870</v>
      </c>
      <c r="B368" s="16"/>
      <c r="C368" s="204"/>
      <c r="D368" s="204"/>
      <c r="E368" s="204"/>
      <c r="F368" s="204"/>
      <c r="G368" s="204"/>
      <c r="H368" s="204"/>
      <c r="I368" s="1440" t="s">
        <v>1225</v>
      </c>
      <c r="J368" s="1440" t="s">
        <v>48</v>
      </c>
      <c r="K368" s="1440" t="s">
        <v>1223</v>
      </c>
      <c r="L368" s="632"/>
      <c r="M368" s="632"/>
      <c r="N368" s="127">
        <f>29739.505+24457.7</f>
        <v>54197.205000000002</v>
      </c>
      <c r="O368" s="134">
        <f>29739.505+24457.7</f>
        <v>54197.205000000002</v>
      </c>
      <c r="P368" s="127">
        <v>55641.9</v>
      </c>
      <c r="Q368" s="314"/>
      <c r="R368" s="314"/>
      <c r="S368" s="314"/>
      <c r="W368" s="19"/>
      <c r="X368" s="19"/>
      <c r="Y368" s="19"/>
    </row>
    <row r="369" spans="1:25" s="18" customFormat="1" ht="63" customHeight="1">
      <c r="A369" s="633" t="s">
        <v>872</v>
      </c>
      <c r="B369" s="634"/>
      <c r="C369" s="635"/>
      <c r="D369" s="635"/>
      <c r="E369" s="635"/>
      <c r="F369" s="635"/>
      <c r="G369" s="635"/>
      <c r="H369" s="635"/>
      <c r="I369" s="635" t="s">
        <v>99</v>
      </c>
      <c r="J369" s="635" t="s">
        <v>48</v>
      </c>
      <c r="K369" s="635" t="s">
        <v>332</v>
      </c>
      <c r="L369" s="636"/>
      <c r="M369" s="636"/>
      <c r="N369" s="637"/>
      <c r="O369" s="637"/>
      <c r="P369" s="637"/>
      <c r="Q369" s="1532"/>
      <c r="R369" s="1532"/>
      <c r="S369" s="1532"/>
      <c r="W369" s="19"/>
      <c r="X369" s="19"/>
      <c r="Y369" s="19"/>
    </row>
    <row r="370" spans="1:25" s="18" customFormat="1" ht="63" customHeight="1">
      <c r="A370" s="452" t="s">
        <v>690</v>
      </c>
      <c r="B370" s="528">
        <v>1146</v>
      </c>
      <c r="C370" s="626" t="s">
        <v>40</v>
      </c>
      <c r="D370" s="626" t="s">
        <v>1227</v>
      </c>
      <c r="E370" s="626" t="s">
        <v>1159</v>
      </c>
      <c r="F370" s="47"/>
      <c r="G370" s="47"/>
      <c r="H370" s="47"/>
      <c r="I370" s="47" t="s">
        <v>1226</v>
      </c>
      <c r="J370" s="47" t="s">
        <v>48</v>
      </c>
      <c r="K370" s="47" t="s">
        <v>1228</v>
      </c>
      <c r="L370" s="323" t="s">
        <v>25</v>
      </c>
      <c r="M370" s="638" t="s">
        <v>19</v>
      </c>
      <c r="N370" s="639">
        <v>1</v>
      </c>
      <c r="O370" s="1533">
        <v>1</v>
      </c>
      <c r="P370" s="639">
        <v>1</v>
      </c>
      <c r="Q370" s="639">
        <v>0</v>
      </c>
      <c r="R370" s="639">
        <v>0</v>
      </c>
      <c r="S370" s="639">
        <v>0</v>
      </c>
      <c r="W370" s="19"/>
      <c r="X370" s="19"/>
      <c r="Y370" s="19"/>
    </row>
    <row r="371" spans="1:25" s="18" customFormat="1" ht="53.25" hidden="1" customHeight="1">
      <c r="A371" s="56" t="s">
        <v>357</v>
      </c>
      <c r="B371" s="57">
        <v>1148</v>
      </c>
      <c r="C371" s="1668" t="s">
        <v>40</v>
      </c>
      <c r="D371" s="1668" t="s">
        <v>334</v>
      </c>
      <c r="E371" s="1668" t="s">
        <v>41</v>
      </c>
      <c r="F371" s="1668"/>
      <c r="G371" s="1668"/>
      <c r="H371" s="1668"/>
      <c r="I371" s="1668" t="s">
        <v>89</v>
      </c>
      <c r="J371" s="1668" t="s">
        <v>48</v>
      </c>
      <c r="K371" s="1668" t="s">
        <v>80</v>
      </c>
      <c r="L371" s="323" t="s">
        <v>25</v>
      </c>
      <c r="M371" s="638" t="s">
        <v>26</v>
      </c>
      <c r="N371" s="59">
        <v>0</v>
      </c>
      <c r="O371" s="1498"/>
      <c r="P371" s="59">
        <v>0</v>
      </c>
      <c r="Q371" s="59">
        <v>0</v>
      </c>
      <c r="R371" s="59">
        <v>0</v>
      </c>
      <c r="S371" s="59">
        <v>0</v>
      </c>
      <c r="W371" s="19"/>
      <c r="X371" s="19"/>
      <c r="Y371" s="19"/>
    </row>
    <row r="372" spans="1:25" s="18" customFormat="1" ht="53.25" hidden="1" customHeight="1">
      <c r="A372" s="56" t="s">
        <v>358</v>
      </c>
      <c r="B372" s="57">
        <v>1149</v>
      </c>
      <c r="C372" s="1669"/>
      <c r="D372" s="1669"/>
      <c r="E372" s="1669"/>
      <c r="F372" s="1669"/>
      <c r="G372" s="1669"/>
      <c r="H372" s="1669"/>
      <c r="I372" s="1669"/>
      <c r="J372" s="1669"/>
      <c r="K372" s="1669"/>
      <c r="L372" s="323" t="s">
        <v>25</v>
      </c>
      <c r="M372" s="638" t="s">
        <v>26</v>
      </c>
      <c r="N372" s="59">
        <v>0</v>
      </c>
      <c r="O372" s="1498"/>
      <c r="P372" s="59">
        <v>0</v>
      </c>
      <c r="Q372" s="59">
        <v>0</v>
      </c>
      <c r="R372" s="59">
        <v>0</v>
      </c>
      <c r="S372" s="59">
        <v>0</v>
      </c>
      <c r="W372" s="19"/>
      <c r="X372" s="19"/>
      <c r="Y372" s="19"/>
    </row>
    <row r="373" spans="1:25" s="18" customFormat="1" ht="134.25" customHeight="1">
      <c r="A373" s="56" t="s">
        <v>533</v>
      </c>
      <c r="B373" s="57">
        <v>1200</v>
      </c>
      <c r="C373" s="57" t="s">
        <v>1229</v>
      </c>
      <c r="D373" s="57" t="s">
        <v>1229</v>
      </c>
      <c r="E373" s="57" t="s">
        <v>1229</v>
      </c>
      <c r="F373" s="57" t="s">
        <v>1229</v>
      </c>
      <c r="G373" s="57" t="s">
        <v>1229</v>
      </c>
      <c r="H373" s="57" t="s">
        <v>1229</v>
      </c>
      <c r="I373" s="57" t="s">
        <v>1229</v>
      </c>
      <c r="J373" s="57" t="s">
        <v>1229</v>
      </c>
      <c r="K373" s="57" t="s">
        <v>1229</v>
      </c>
      <c r="L373" s="57"/>
      <c r="M373" s="58"/>
      <c r="N373" s="59">
        <f t="shared" ref="N373:S373" si="52">N374+N402+N421+N422+N423+N424+N435+N436+N437+N439+N449+N454+N464+N479+N469+N474</f>
        <v>195630.50800000003</v>
      </c>
      <c r="O373" s="1498">
        <f t="shared" si="52"/>
        <v>193499.94999999998</v>
      </c>
      <c r="P373" s="59">
        <f t="shared" si="52"/>
        <v>219802.39500000002</v>
      </c>
      <c r="Q373" s="59">
        <f t="shared" si="52"/>
        <v>199905.49999999997</v>
      </c>
      <c r="R373" s="59">
        <f t="shared" si="52"/>
        <v>181952.90000000002</v>
      </c>
      <c r="S373" s="59">
        <f t="shared" si="52"/>
        <v>185628.1</v>
      </c>
      <c r="W373" s="19"/>
      <c r="X373" s="19"/>
      <c r="Y373" s="19"/>
    </row>
    <row r="374" spans="1:25" s="18" customFormat="1" ht="50.25" customHeight="1">
      <c r="A374" s="546" t="s">
        <v>359</v>
      </c>
      <c r="B374" s="547">
        <v>1201</v>
      </c>
      <c r="C374" s="547"/>
      <c r="D374" s="547"/>
      <c r="E374" s="547"/>
      <c r="F374" s="547"/>
      <c r="G374" s="547"/>
      <c r="H374" s="547"/>
      <c r="I374" s="547"/>
      <c r="J374" s="547"/>
      <c r="K374" s="547"/>
      <c r="L374" s="547"/>
      <c r="M374" s="547"/>
      <c r="N374" s="551">
        <f t="shared" ref="N374:S374" si="53">SUM(N375:N401)</f>
        <v>51170.971999999994</v>
      </c>
      <c r="O374" s="1506">
        <f t="shared" si="53"/>
        <v>49683.115999999995</v>
      </c>
      <c r="P374" s="551">
        <f t="shared" si="53"/>
        <v>62118.764000000003</v>
      </c>
      <c r="Q374" s="551">
        <f t="shared" si="53"/>
        <v>61148.299999999996</v>
      </c>
      <c r="R374" s="551">
        <f t="shared" si="53"/>
        <v>52817.5</v>
      </c>
      <c r="S374" s="551">
        <f t="shared" si="53"/>
        <v>53087.899999999994</v>
      </c>
      <c r="W374" s="19"/>
      <c r="X374" s="19"/>
      <c r="Y374" s="19"/>
    </row>
    <row r="375" spans="1:25" s="9" customFormat="1" ht="13.5" customHeight="1">
      <c r="A375" s="552" t="s">
        <v>687</v>
      </c>
      <c r="B375" s="553"/>
      <c r="C375" s="640"/>
      <c r="D375" s="640"/>
      <c r="E375" s="640"/>
      <c r="F375" s="640"/>
      <c r="G375" s="640"/>
      <c r="H375" s="640"/>
      <c r="I375" s="641"/>
      <c r="J375" s="475"/>
      <c r="K375" s="642"/>
      <c r="L375" s="540"/>
      <c r="M375" s="540"/>
      <c r="N375" s="477"/>
      <c r="O375" s="1507"/>
      <c r="P375" s="477"/>
      <c r="Q375" s="477"/>
      <c r="R375" s="477"/>
      <c r="S375" s="477"/>
      <c r="W375" s="33"/>
      <c r="X375" s="33"/>
      <c r="Y375" s="33"/>
    </row>
    <row r="376" spans="1:25" s="9" customFormat="1" ht="24.75" customHeight="1">
      <c r="A376" s="125" t="s">
        <v>1115</v>
      </c>
      <c r="B376" s="204"/>
      <c r="C376" s="131"/>
      <c r="D376" s="131"/>
      <c r="E376" s="131"/>
      <c r="F376" s="131"/>
      <c r="G376" s="131"/>
      <c r="H376" s="131"/>
      <c r="I376" s="1617" t="s">
        <v>1600</v>
      </c>
      <c r="J376" s="1719" t="s">
        <v>649</v>
      </c>
      <c r="K376" s="1721" t="s">
        <v>556</v>
      </c>
      <c r="L376" s="204"/>
      <c r="M376" s="204"/>
      <c r="N376" s="127"/>
      <c r="O376" s="134"/>
      <c r="P376" s="127"/>
      <c r="Q376" s="127"/>
      <c r="R376" s="127"/>
      <c r="S376" s="127"/>
      <c r="W376" s="33"/>
      <c r="X376" s="33"/>
      <c r="Y376" s="33"/>
    </row>
    <row r="377" spans="1:25" s="9" customFormat="1" ht="24.75" customHeight="1">
      <c r="A377" s="142" t="s">
        <v>1116</v>
      </c>
      <c r="B377" s="1387"/>
      <c r="C377" s="1385"/>
      <c r="D377" s="1385"/>
      <c r="E377" s="1385"/>
      <c r="F377" s="1385"/>
      <c r="G377" s="1385"/>
      <c r="H377" s="1385"/>
      <c r="I377" s="1617"/>
      <c r="J377" s="1719"/>
      <c r="K377" s="1721"/>
      <c r="L377" s="1387"/>
      <c r="M377" s="1387"/>
      <c r="N377" s="134"/>
      <c r="O377" s="134"/>
      <c r="P377" s="134"/>
      <c r="Q377" s="134"/>
      <c r="R377" s="134"/>
      <c r="S377" s="134"/>
      <c r="W377" s="33"/>
      <c r="X377" s="33"/>
      <c r="Y377" s="33"/>
    </row>
    <row r="378" spans="1:25" s="9" customFormat="1" ht="24" customHeight="1">
      <c r="A378" s="1681" t="s">
        <v>1117</v>
      </c>
      <c r="B378" s="204"/>
      <c r="C378" s="131"/>
      <c r="D378" s="131"/>
      <c r="E378" s="131"/>
      <c r="F378" s="131"/>
      <c r="G378" s="131"/>
      <c r="H378" s="131"/>
      <c r="I378" s="1617"/>
      <c r="J378" s="1719"/>
      <c r="K378" s="1721"/>
      <c r="L378" s="204"/>
      <c r="M378" s="204"/>
      <c r="N378" s="127"/>
      <c r="O378" s="134"/>
      <c r="P378" s="127"/>
      <c r="Q378" s="127"/>
      <c r="R378" s="127"/>
      <c r="S378" s="127"/>
      <c r="W378" s="33"/>
      <c r="X378" s="33"/>
      <c r="Y378" s="33"/>
    </row>
    <row r="379" spans="1:25" s="9" customFormat="1" ht="12" customHeight="1">
      <c r="A379" s="1681"/>
      <c r="B379" s="221"/>
      <c r="C379" s="643"/>
      <c r="D379" s="643"/>
      <c r="E379" s="643"/>
      <c r="F379" s="643"/>
      <c r="G379" s="643"/>
      <c r="H379" s="643"/>
      <c r="I379" s="1617"/>
      <c r="J379" s="1719"/>
      <c r="K379" s="1721"/>
      <c r="L379" s="204" t="s">
        <v>25</v>
      </c>
      <c r="M379" s="204" t="s">
        <v>29</v>
      </c>
      <c r="N379" s="127">
        <f>71.616+100</f>
        <v>171.61599999999999</v>
      </c>
      <c r="O379" s="134">
        <f>57.706+100</f>
        <v>157.70600000000002</v>
      </c>
      <c r="P379" s="127">
        <v>43.6</v>
      </c>
      <c r="Q379" s="127">
        <v>93.4</v>
      </c>
      <c r="R379" s="127">
        <v>0</v>
      </c>
      <c r="S379" s="127">
        <v>0</v>
      </c>
      <c r="W379" s="33"/>
      <c r="X379" s="33"/>
      <c r="Y379" s="33"/>
    </row>
    <row r="380" spans="1:25" s="9" customFormat="1" ht="21" customHeight="1">
      <c r="A380" s="1681"/>
      <c r="B380" s="221"/>
      <c r="C380" s="643"/>
      <c r="D380" s="643"/>
      <c r="E380" s="643"/>
      <c r="F380" s="643"/>
      <c r="G380" s="643"/>
      <c r="H380" s="643"/>
      <c r="I380" s="1617"/>
      <c r="J380" s="1719"/>
      <c r="K380" s="644"/>
      <c r="L380" s="7" t="s">
        <v>25</v>
      </c>
      <c r="M380" s="7" t="s">
        <v>26</v>
      </c>
      <c r="N380" s="127"/>
      <c r="O380" s="134"/>
      <c r="P380" s="127"/>
      <c r="Q380" s="127"/>
      <c r="R380" s="127"/>
      <c r="S380" s="127"/>
      <c r="W380" s="33"/>
      <c r="X380" s="33"/>
      <c r="Y380" s="33"/>
    </row>
    <row r="381" spans="1:25" s="9" customFormat="1" ht="63.75" customHeight="1">
      <c r="A381" s="1382"/>
      <c r="B381" s="1446" t="s">
        <v>1008</v>
      </c>
      <c r="C381" s="1385"/>
      <c r="D381" s="1385"/>
      <c r="E381" s="1385"/>
      <c r="F381" s="1385"/>
      <c r="G381" s="1385"/>
      <c r="H381" s="1385"/>
      <c r="I381" s="1385" t="s">
        <v>1014</v>
      </c>
      <c r="J381" s="491" t="s">
        <v>48</v>
      </c>
      <c r="K381" s="644" t="s">
        <v>1015</v>
      </c>
      <c r="L381" s="1446" t="s">
        <v>25</v>
      </c>
      <c r="M381" s="1446" t="s">
        <v>29</v>
      </c>
      <c r="N381" s="134">
        <v>80.510000000000005</v>
      </c>
      <c r="O381" s="134">
        <v>80.510000000000005</v>
      </c>
      <c r="P381" s="134">
        <v>0</v>
      </c>
      <c r="Q381" s="134"/>
      <c r="R381" s="134"/>
      <c r="S381" s="134"/>
      <c r="W381" s="33"/>
      <c r="X381" s="33"/>
      <c r="Y381" s="33"/>
    </row>
    <row r="382" spans="1:25" s="9" customFormat="1" ht="24.75" customHeight="1">
      <c r="A382" s="1382"/>
      <c r="B382" s="1749" t="s">
        <v>1009</v>
      </c>
      <c r="C382" s="1385"/>
      <c r="D382" s="1385"/>
      <c r="E382" s="1385"/>
      <c r="F382" s="1385"/>
      <c r="G382" s="1385"/>
      <c r="H382" s="1385"/>
      <c r="I382" s="1617" t="s">
        <v>1021</v>
      </c>
      <c r="J382" s="1719" t="s">
        <v>48</v>
      </c>
      <c r="K382" s="1236" t="s">
        <v>1018</v>
      </c>
      <c r="L382" s="1446" t="s">
        <v>25</v>
      </c>
      <c r="M382" s="1446" t="s">
        <v>28</v>
      </c>
      <c r="N382" s="134">
        <v>34.770000000000003</v>
      </c>
      <c r="O382" s="134">
        <v>34.770000000000003</v>
      </c>
      <c r="P382" s="134">
        <v>0</v>
      </c>
      <c r="Q382" s="134"/>
      <c r="R382" s="134"/>
      <c r="S382" s="134"/>
      <c r="W382" s="33"/>
      <c r="X382" s="33"/>
      <c r="Y382" s="33"/>
    </row>
    <row r="383" spans="1:25" s="9" customFormat="1" ht="24.75" customHeight="1">
      <c r="A383" s="1382"/>
      <c r="B383" s="1749"/>
      <c r="C383" s="1385"/>
      <c r="D383" s="1385"/>
      <c r="E383" s="1385"/>
      <c r="F383" s="1385"/>
      <c r="G383" s="1385"/>
      <c r="H383" s="1385"/>
      <c r="I383" s="1617"/>
      <c r="J383" s="1719"/>
      <c r="K383" s="1236"/>
      <c r="L383" s="1446" t="s">
        <v>25</v>
      </c>
      <c r="M383" s="1446" t="s">
        <v>29</v>
      </c>
      <c r="N383" s="134">
        <v>234.68899999999999</v>
      </c>
      <c r="O383" s="134">
        <v>234.68899999999999</v>
      </c>
      <c r="P383" s="134">
        <v>0</v>
      </c>
      <c r="Q383" s="134"/>
      <c r="R383" s="134"/>
      <c r="S383" s="134"/>
      <c r="W383" s="33"/>
      <c r="X383" s="33"/>
      <c r="Y383" s="33"/>
    </row>
    <row r="384" spans="1:25" s="9" customFormat="1" ht="16.5" customHeight="1">
      <c r="A384" s="1382"/>
      <c r="B384" s="1749"/>
      <c r="C384" s="1385"/>
      <c r="D384" s="1385"/>
      <c r="E384" s="1385"/>
      <c r="F384" s="1385"/>
      <c r="G384" s="1385"/>
      <c r="H384" s="1385"/>
      <c r="I384" s="1750" t="s">
        <v>1022</v>
      </c>
      <c r="J384" s="491" t="s">
        <v>48</v>
      </c>
      <c r="K384" s="1866" t="s">
        <v>1584</v>
      </c>
      <c r="L384" s="7" t="s">
        <v>25</v>
      </c>
      <c r="M384" s="7" t="s">
        <v>26</v>
      </c>
      <c r="N384" s="127">
        <v>106.48699999999999</v>
      </c>
      <c r="O384" s="134">
        <v>106.48699999999999</v>
      </c>
      <c r="P384" s="127">
        <v>0</v>
      </c>
      <c r="Q384" s="127"/>
      <c r="R384" s="127"/>
      <c r="S384" s="127"/>
      <c r="W384" s="33"/>
      <c r="X384" s="33"/>
      <c r="Y384" s="33"/>
    </row>
    <row r="385" spans="1:25" s="9" customFormat="1" ht="16.5" customHeight="1">
      <c r="A385" s="205"/>
      <c r="B385" s="1749"/>
      <c r="C385" s="643"/>
      <c r="D385" s="643"/>
      <c r="E385" s="643"/>
      <c r="F385" s="643"/>
      <c r="G385" s="643"/>
      <c r="H385" s="643"/>
      <c r="I385" s="1750"/>
      <c r="J385" s="491"/>
      <c r="K385" s="1866"/>
      <c r="L385" s="204" t="s">
        <v>33</v>
      </c>
      <c r="M385" s="204" t="s">
        <v>30</v>
      </c>
      <c r="N385" s="127">
        <v>87.251999999999995</v>
      </c>
      <c r="O385" s="134">
        <v>87.251999999999995</v>
      </c>
      <c r="P385" s="127">
        <v>0</v>
      </c>
      <c r="Q385" s="127"/>
      <c r="R385" s="127"/>
      <c r="S385" s="127"/>
      <c r="W385" s="33"/>
      <c r="X385" s="33"/>
      <c r="Y385" s="33"/>
    </row>
    <row r="386" spans="1:25" s="9" customFormat="1" ht="16.5" customHeight="1">
      <c r="A386" s="205"/>
      <c r="B386" s="1749"/>
      <c r="C386" s="643"/>
      <c r="D386" s="643"/>
      <c r="E386" s="643"/>
      <c r="F386" s="643"/>
      <c r="G386" s="643"/>
      <c r="H386" s="643"/>
      <c r="I386" s="1750"/>
      <c r="J386" s="491"/>
      <c r="K386" s="1866"/>
      <c r="L386" s="204" t="s">
        <v>31</v>
      </c>
      <c r="M386" s="204" t="s">
        <v>29</v>
      </c>
      <c r="N386" s="127">
        <v>50.005000000000003</v>
      </c>
      <c r="O386" s="134">
        <v>50.005000000000003</v>
      </c>
      <c r="P386" s="127">
        <v>0</v>
      </c>
      <c r="Q386" s="127"/>
      <c r="R386" s="127"/>
      <c r="S386" s="127"/>
      <c r="W386" s="33"/>
      <c r="X386" s="33"/>
      <c r="Y386" s="33"/>
    </row>
    <row r="387" spans="1:25" s="9" customFormat="1" ht="25.5" customHeight="1">
      <c r="A387" s="125" t="s">
        <v>1118</v>
      </c>
      <c r="B387" s="204"/>
      <c r="C387" s="131"/>
      <c r="D387" s="131"/>
      <c r="E387" s="131"/>
      <c r="F387" s="131"/>
      <c r="G387" s="131"/>
      <c r="H387" s="131"/>
      <c r="I387" s="1750" t="s">
        <v>1600</v>
      </c>
      <c r="J387" s="1579" t="s">
        <v>641</v>
      </c>
      <c r="K387" s="1866" t="s">
        <v>556</v>
      </c>
      <c r="L387" s="7"/>
      <c r="M387" s="7"/>
      <c r="N387" s="127"/>
      <c r="O387" s="134"/>
      <c r="P387" s="127"/>
      <c r="Q387" s="127"/>
      <c r="R387" s="127"/>
      <c r="S387" s="127"/>
      <c r="W387" s="33"/>
      <c r="X387" s="33"/>
      <c r="Y387" s="33"/>
    </row>
    <row r="388" spans="1:25" s="9" customFormat="1" ht="26.25" customHeight="1">
      <c r="A388" s="128" t="s">
        <v>1119</v>
      </c>
      <c r="B388" s="204"/>
      <c r="C388" s="131"/>
      <c r="D388" s="131"/>
      <c r="E388" s="131"/>
      <c r="F388" s="131"/>
      <c r="G388" s="131"/>
      <c r="H388" s="131"/>
      <c r="I388" s="1750"/>
      <c r="J388" s="1579"/>
      <c r="K388" s="1866"/>
      <c r="L388" s="204" t="s">
        <v>25</v>
      </c>
      <c r="M388" s="204" t="s">
        <v>29</v>
      </c>
      <c r="N388" s="127">
        <v>376.9</v>
      </c>
      <c r="O388" s="134">
        <v>376.89</v>
      </c>
      <c r="P388" s="127">
        <v>400.1</v>
      </c>
      <c r="Q388" s="127">
        <v>456.5</v>
      </c>
      <c r="R388" s="127">
        <v>0</v>
      </c>
      <c r="S388" s="127">
        <v>0</v>
      </c>
      <c r="W388" s="33"/>
      <c r="X388" s="33"/>
      <c r="Y388" s="33"/>
    </row>
    <row r="389" spans="1:25" s="9" customFormat="1" ht="24.75" customHeight="1">
      <c r="A389" s="128" t="s">
        <v>1120</v>
      </c>
      <c r="B389" s="204"/>
      <c r="C389" s="131"/>
      <c r="D389" s="131"/>
      <c r="E389" s="131"/>
      <c r="F389" s="131"/>
      <c r="G389" s="131"/>
      <c r="H389" s="131"/>
      <c r="I389" s="1750"/>
      <c r="J389" s="1579"/>
      <c r="K389" s="1866"/>
      <c r="L389" s="204" t="s">
        <v>25</v>
      </c>
      <c r="M389" s="204" t="s">
        <v>29</v>
      </c>
      <c r="N389" s="127">
        <v>1447.9190000000001</v>
      </c>
      <c r="O389" s="134">
        <v>1420.71</v>
      </c>
      <c r="P389" s="127">
        <v>982.9</v>
      </c>
      <c r="Q389" s="127">
        <v>968.9</v>
      </c>
      <c r="R389" s="127">
        <v>0</v>
      </c>
      <c r="S389" s="127">
        <v>0</v>
      </c>
      <c r="W389" s="33"/>
      <c r="X389" s="33"/>
      <c r="Y389" s="33"/>
    </row>
    <row r="390" spans="1:25" s="9" customFormat="1" ht="64.5" customHeight="1">
      <c r="A390" s="226" t="s">
        <v>1121</v>
      </c>
      <c r="B390" s="221"/>
      <c r="C390" s="643"/>
      <c r="D390" s="643"/>
      <c r="E390" s="643"/>
      <c r="F390" s="643"/>
      <c r="G390" s="643"/>
      <c r="H390" s="643"/>
      <c r="I390" s="1750"/>
      <c r="J390" s="1579"/>
      <c r="K390" s="1866"/>
      <c r="L390" s="204" t="s">
        <v>25</v>
      </c>
      <c r="M390" s="204" t="s">
        <v>29</v>
      </c>
      <c r="N390" s="8">
        <v>3929.6</v>
      </c>
      <c r="O390" s="134">
        <v>3929.6</v>
      </c>
      <c r="P390" s="8">
        <f>3129.2+1522.04</f>
        <v>4651.24</v>
      </c>
      <c r="Q390" s="8">
        <v>5963.2</v>
      </c>
      <c r="R390" s="8">
        <v>0</v>
      </c>
      <c r="S390" s="8">
        <v>0</v>
      </c>
      <c r="W390" s="33"/>
      <c r="X390" s="33"/>
      <c r="Y390" s="33"/>
    </row>
    <row r="391" spans="1:25" s="9" customFormat="1" ht="74.25" customHeight="1">
      <c r="A391" s="142" t="s">
        <v>1114</v>
      </c>
      <c r="B391" s="1387"/>
      <c r="C391" s="1385"/>
      <c r="D391" s="1385"/>
      <c r="E391" s="1385"/>
      <c r="F391" s="1385"/>
      <c r="G391" s="1385"/>
      <c r="H391" s="1385"/>
      <c r="I391" s="1408" t="s">
        <v>1565</v>
      </c>
      <c r="J391" s="1388" t="s">
        <v>641</v>
      </c>
      <c r="K391" s="1419" t="s">
        <v>642</v>
      </c>
      <c r="L391" s="1446" t="s">
        <v>25</v>
      </c>
      <c r="M391" s="1446" t="s">
        <v>19</v>
      </c>
      <c r="N391" s="134"/>
      <c r="O391" s="134"/>
      <c r="P391" s="134"/>
      <c r="Q391" s="134"/>
      <c r="R391" s="134"/>
      <c r="S391" s="134"/>
      <c r="W391" s="33"/>
      <c r="X391" s="33"/>
      <c r="Y391" s="33"/>
    </row>
    <row r="392" spans="1:25" s="9" customFormat="1" ht="51" customHeight="1">
      <c r="A392" s="142" t="s">
        <v>1122</v>
      </c>
      <c r="B392" s="1387"/>
      <c r="C392" s="1750" t="s">
        <v>104</v>
      </c>
      <c r="D392" s="1750" t="s">
        <v>105</v>
      </c>
      <c r="E392" s="1750" t="s">
        <v>1397</v>
      </c>
      <c r="F392" s="1750" t="s">
        <v>107</v>
      </c>
      <c r="G392" s="1750" t="s">
        <v>48</v>
      </c>
      <c r="H392" s="1750" t="s">
        <v>1398</v>
      </c>
      <c r="I392" s="1412" t="s">
        <v>564</v>
      </c>
      <c r="J392" s="491" t="s">
        <v>48</v>
      </c>
      <c r="K392" s="1419" t="s">
        <v>110</v>
      </c>
      <c r="L392" s="1446" t="s">
        <v>25</v>
      </c>
      <c r="M392" s="1446">
        <v>13</v>
      </c>
      <c r="N392" s="134">
        <v>0</v>
      </c>
      <c r="O392" s="134">
        <v>0</v>
      </c>
      <c r="P392" s="134"/>
      <c r="Q392" s="134"/>
      <c r="R392" s="134"/>
      <c r="S392" s="134"/>
      <c r="W392" s="33"/>
      <c r="X392" s="33"/>
      <c r="Y392" s="33"/>
    </row>
    <row r="393" spans="1:25" s="9" customFormat="1" ht="24">
      <c r="A393" s="126" t="s">
        <v>1124</v>
      </c>
      <c r="B393" s="1387"/>
      <c r="C393" s="1750"/>
      <c r="D393" s="1750"/>
      <c r="E393" s="1750"/>
      <c r="F393" s="1750"/>
      <c r="G393" s="1750"/>
      <c r="H393" s="1750"/>
      <c r="I393" s="1385"/>
      <c r="J393" s="1388"/>
      <c r="K393" s="1419"/>
      <c r="L393" s="1446" t="s">
        <v>25</v>
      </c>
      <c r="M393" s="1446">
        <v>13</v>
      </c>
      <c r="N393" s="134">
        <v>0</v>
      </c>
      <c r="O393" s="134">
        <v>0</v>
      </c>
      <c r="P393" s="134">
        <v>1021.38</v>
      </c>
      <c r="Q393" s="134">
        <v>1350.3</v>
      </c>
      <c r="R393" s="134">
        <v>1224.7</v>
      </c>
      <c r="S393" s="134">
        <v>1224.7</v>
      </c>
      <c r="W393" s="33"/>
      <c r="X393" s="33"/>
      <c r="Y393" s="33"/>
    </row>
    <row r="394" spans="1:25" s="9" customFormat="1" ht="48.75" customHeight="1">
      <c r="A394" s="126" t="s">
        <v>1123</v>
      </c>
      <c r="B394" s="1387"/>
      <c r="C394" s="1750"/>
      <c r="D394" s="1750"/>
      <c r="E394" s="1750"/>
      <c r="F394" s="1750"/>
      <c r="G394" s="1750"/>
      <c r="H394" s="1750"/>
      <c r="I394" s="1385"/>
      <c r="J394" s="1388"/>
      <c r="K394" s="1419"/>
      <c r="L394" s="1387"/>
      <c r="M394" s="1387"/>
      <c r="N394" s="134"/>
      <c r="O394" s="134"/>
      <c r="P394" s="134">
        <f>214.4</f>
        <v>214.4</v>
      </c>
      <c r="Q394" s="134">
        <v>214.4</v>
      </c>
      <c r="R394" s="134">
        <v>214.4</v>
      </c>
      <c r="S394" s="134">
        <v>214.4</v>
      </c>
      <c r="W394" s="33"/>
      <c r="X394" s="33"/>
      <c r="Y394" s="33"/>
    </row>
    <row r="395" spans="1:25" s="9" customFormat="1" ht="12">
      <c r="A395" s="125" t="s">
        <v>688</v>
      </c>
      <c r="B395" s="204"/>
      <c r="C395" s="131"/>
      <c r="D395" s="131"/>
      <c r="E395" s="131"/>
      <c r="F395" s="131"/>
      <c r="G395" s="131"/>
      <c r="H395" s="131"/>
      <c r="I395" s="131"/>
      <c r="J395" s="5"/>
      <c r="K395" s="6"/>
      <c r="L395" s="204"/>
      <c r="M395" s="204"/>
      <c r="N395" s="127"/>
      <c r="O395" s="134"/>
      <c r="P395" s="127"/>
      <c r="Q395" s="127"/>
      <c r="R395" s="127"/>
      <c r="S395" s="127"/>
      <c r="W395" s="33"/>
      <c r="X395" s="33"/>
      <c r="Y395" s="33"/>
    </row>
    <row r="396" spans="1:25" s="9" customFormat="1" ht="26.25" customHeight="1">
      <c r="A396" s="128"/>
      <c r="B396" s="204"/>
      <c r="C396" s="1617" t="s">
        <v>43</v>
      </c>
      <c r="D396" s="1617" t="s">
        <v>1393</v>
      </c>
      <c r="E396" s="1619" t="s">
        <v>44</v>
      </c>
      <c r="F396" s="1617" t="s">
        <v>251</v>
      </c>
      <c r="G396" s="1617" t="s">
        <v>1394</v>
      </c>
      <c r="H396" s="1617" t="s">
        <v>45</v>
      </c>
      <c r="I396" s="1617" t="s">
        <v>93</v>
      </c>
      <c r="J396" s="1617" t="s">
        <v>94</v>
      </c>
      <c r="K396" s="1617" t="s">
        <v>95</v>
      </c>
      <c r="L396" s="204" t="s">
        <v>25</v>
      </c>
      <c r="M396" s="204" t="s">
        <v>28</v>
      </c>
      <c r="N396" s="127">
        <f>723.762-0.1</f>
        <v>723.66199999999992</v>
      </c>
      <c r="O396" s="134">
        <f>709.456-0.1</f>
        <v>709.35599999999999</v>
      </c>
      <c r="P396" s="127">
        <v>837.01</v>
      </c>
      <c r="Q396" s="127">
        <v>837.1</v>
      </c>
      <c r="R396" s="127">
        <v>837.1</v>
      </c>
      <c r="S396" s="127">
        <v>837.1</v>
      </c>
      <c r="W396" s="33"/>
      <c r="X396" s="33"/>
      <c r="Y396" s="33"/>
    </row>
    <row r="397" spans="1:25" s="9" customFormat="1" ht="30" customHeight="1">
      <c r="A397" s="128"/>
      <c r="B397" s="204"/>
      <c r="C397" s="1617"/>
      <c r="D397" s="1617"/>
      <c r="E397" s="1619"/>
      <c r="F397" s="1617"/>
      <c r="G397" s="1617"/>
      <c r="H397" s="1617"/>
      <c r="I397" s="1617"/>
      <c r="J397" s="1617"/>
      <c r="K397" s="1617"/>
      <c r="L397" s="204" t="s">
        <v>25</v>
      </c>
      <c r="M397" s="204" t="s">
        <v>32</v>
      </c>
      <c r="N397" s="127">
        <v>926.798</v>
      </c>
      <c r="O397" s="134">
        <v>919.28499999999997</v>
      </c>
      <c r="P397" s="127">
        <f>626.1+250+139.2</f>
        <v>1015.3</v>
      </c>
      <c r="Q397" s="127">
        <v>626.9</v>
      </c>
      <c r="R397" s="127">
        <v>630</v>
      </c>
      <c r="S397" s="127">
        <v>634.4</v>
      </c>
      <c r="W397" s="33"/>
      <c r="X397" s="33"/>
      <c r="Y397" s="33"/>
    </row>
    <row r="398" spans="1:25" s="9" customFormat="1" ht="63.75" customHeight="1">
      <c r="A398" s="128"/>
      <c r="B398" s="204"/>
      <c r="C398" s="131" t="s">
        <v>40</v>
      </c>
      <c r="D398" s="131" t="s">
        <v>1395</v>
      </c>
      <c r="E398" s="557" t="s">
        <v>96</v>
      </c>
      <c r="F398" s="131"/>
      <c r="G398" s="131"/>
      <c r="H398" s="131"/>
      <c r="I398" s="131" t="s">
        <v>595</v>
      </c>
      <c r="J398" s="131" t="s">
        <v>403</v>
      </c>
      <c r="K398" s="131" t="s">
        <v>42</v>
      </c>
      <c r="L398" s="204" t="s">
        <v>25</v>
      </c>
      <c r="M398" s="204" t="s">
        <v>29</v>
      </c>
      <c r="N398" s="127">
        <f>23492.246+0.1</f>
        <v>23492.345999999998</v>
      </c>
      <c r="O398" s="134">
        <f>22387.164+0.1</f>
        <v>22387.263999999999</v>
      </c>
      <c r="P398" s="127">
        <f>27891.1+97.248+706-1000+2118.406+197.1</f>
        <v>30009.853999999996</v>
      </c>
      <c r="Q398" s="314">
        <v>27047.5</v>
      </c>
      <c r="R398" s="314">
        <f>26425.3</f>
        <v>26425.3</v>
      </c>
      <c r="S398" s="314">
        <f>26624.5</f>
        <v>26624.5</v>
      </c>
      <c r="W398" s="33"/>
      <c r="X398" s="33"/>
      <c r="Y398" s="33"/>
    </row>
    <row r="399" spans="1:25" s="9" customFormat="1" ht="98.25" customHeight="1">
      <c r="A399" s="128"/>
      <c r="B399" s="204"/>
      <c r="C399" s="131" t="s">
        <v>391</v>
      </c>
      <c r="D399" s="131" t="s">
        <v>392</v>
      </c>
      <c r="E399" s="557" t="s">
        <v>393</v>
      </c>
      <c r="F399" s="131"/>
      <c r="G399" s="131"/>
      <c r="H399" s="131"/>
      <c r="I399" s="131" t="s">
        <v>700</v>
      </c>
      <c r="J399" s="131" t="s">
        <v>48</v>
      </c>
      <c r="K399" s="131" t="s">
        <v>51</v>
      </c>
      <c r="L399" s="7" t="s">
        <v>25</v>
      </c>
      <c r="M399" s="7" t="s">
        <v>26</v>
      </c>
      <c r="N399" s="127">
        <v>7367.6670000000004</v>
      </c>
      <c r="O399" s="134">
        <v>7253.5060000000003</v>
      </c>
      <c r="P399" s="127">
        <v>8727.41</v>
      </c>
      <c r="Q399" s="314">
        <f>1199.7+7659.6</f>
        <v>8859.3000000000011</v>
      </c>
      <c r="R399" s="314">
        <f>1095.8+7692.3</f>
        <v>8788.1</v>
      </c>
      <c r="S399" s="314">
        <f>1096.8+7713.5</f>
        <v>8810.2999999999993</v>
      </c>
      <c r="W399" s="33"/>
      <c r="X399" s="33"/>
      <c r="Y399" s="33"/>
    </row>
    <row r="400" spans="1:25" s="9" customFormat="1" ht="87" customHeight="1">
      <c r="A400" s="128"/>
      <c r="B400" s="204"/>
      <c r="C400" s="131" t="s">
        <v>414</v>
      </c>
      <c r="D400" s="131" t="s">
        <v>1396</v>
      </c>
      <c r="E400" s="5" t="s">
        <v>166</v>
      </c>
      <c r="F400" s="131"/>
      <c r="G400" s="131"/>
      <c r="H400" s="131"/>
      <c r="I400" s="131" t="s">
        <v>1587</v>
      </c>
      <c r="J400" s="131" t="s">
        <v>97</v>
      </c>
      <c r="K400" s="131" t="s">
        <v>98</v>
      </c>
      <c r="L400" s="204" t="s">
        <v>33</v>
      </c>
      <c r="M400" s="204" t="s">
        <v>30</v>
      </c>
      <c r="N400" s="127">
        <f>8270.043+6.32</f>
        <v>8276.3629999999994</v>
      </c>
      <c r="O400" s="134">
        <f>8163.21+6.32</f>
        <v>8169.53</v>
      </c>
      <c r="P400" s="127">
        <f>9754.87+52.5</f>
        <v>9807.3700000000008</v>
      </c>
      <c r="Q400" s="127">
        <v>10234.1</v>
      </c>
      <c r="R400" s="127">
        <v>10127.1</v>
      </c>
      <c r="S400" s="127">
        <v>10163</v>
      </c>
      <c r="W400" s="33"/>
      <c r="X400" s="33"/>
      <c r="Y400" s="33"/>
    </row>
    <row r="401" spans="1:25" s="9" customFormat="1" ht="75" customHeight="1">
      <c r="A401" s="128"/>
      <c r="B401" s="204"/>
      <c r="C401" s="131"/>
      <c r="D401" s="131"/>
      <c r="E401" s="131"/>
      <c r="F401" s="131"/>
      <c r="G401" s="131"/>
      <c r="H401" s="131"/>
      <c r="I401" s="131" t="s">
        <v>463</v>
      </c>
      <c r="J401" s="5" t="s">
        <v>48</v>
      </c>
      <c r="K401" s="6" t="s">
        <v>80</v>
      </c>
      <c r="L401" s="204" t="s">
        <v>31</v>
      </c>
      <c r="M401" s="204" t="s">
        <v>29</v>
      </c>
      <c r="N401" s="127">
        <v>3864.3879999999999</v>
      </c>
      <c r="O401" s="134">
        <v>3765.556</v>
      </c>
      <c r="P401" s="127">
        <v>4408.2</v>
      </c>
      <c r="Q401" s="127">
        <v>4496.7</v>
      </c>
      <c r="R401" s="127">
        <v>4570.8</v>
      </c>
      <c r="S401" s="127">
        <v>4579.5</v>
      </c>
      <c r="W401" s="33"/>
      <c r="X401" s="33"/>
      <c r="Y401" s="33"/>
    </row>
    <row r="402" spans="1:25" s="18" customFormat="1" ht="51.75" customHeight="1">
      <c r="A402" s="452" t="s">
        <v>360</v>
      </c>
      <c r="B402" s="646">
        <v>1202</v>
      </c>
      <c r="C402" s="647"/>
      <c r="D402" s="647"/>
      <c r="E402" s="647"/>
      <c r="F402" s="647"/>
      <c r="G402" s="647"/>
      <c r="H402" s="647"/>
      <c r="I402" s="647"/>
      <c r="J402" s="648"/>
      <c r="K402" s="649"/>
      <c r="L402" s="646"/>
      <c r="M402" s="646"/>
      <c r="N402" s="650">
        <f>SUM(N406:N420)</f>
        <v>92166.684999999998</v>
      </c>
      <c r="O402" s="1509">
        <f t="shared" ref="O402:Q402" si="54">SUM(O406:O420)</f>
        <v>91960.208999999988</v>
      </c>
      <c r="P402" s="650">
        <f>SUM(P406:P420)</f>
        <v>104601.83</v>
      </c>
      <c r="Q402" s="650">
        <f t="shared" si="54"/>
        <v>110928.29999999999</v>
      </c>
      <c r="R402" s="650">
        <f t="shared" ref="R402:S402" si="55">SUM(R406:R420)</f>
        <v>109979.1</v>
      </c>
      <c r="S402" s="650">
        <f t="shared" si="55"/>
        <v>109979.1</v>
      </c>
      <c r="W402" s="19"/>
      <c r="X402" s="19"/>
      <c r="Y402" s="19"/>
    </row>
    <row r="403" spans="1:25" s="9" customFormat="1" ht="12" customHeight="1">
      <c r="A403" s="552" t="s">
        <v>687</v>
      </c>
      <c r="B403" s="553"/>
      <c r="C403" s="640"/>
      <c r="D403" s="640"/>
      <c r="E403" s="640"/>
      <c r="F403" s="640"/>
      <c r="G403" s="640"/>
      <c r="H403" s="640"/>
      <c r="I403" s="641"/>
      <c r="J403" s="475"/>
      <c r="K403" s="642"/>
      <c r="L403" s="540"/>
      <c r="M403" s="540"/>
      <c r="N403" s="477"/>
      <c r="O403" s="1507"/>
      <c r="P403" s="477"/>
      <c r="Q403" s="477"/>
      <c r="R403" s="477"/>
      <c r="S403" s="477"/>
      <c r="W403" s="33"/>
      <c r="X403" s="33"/>
      <c r="Y403" s="33"/>
    </row>
    <row r="404" spans="1:25" s="9" customFormat="1" ht="12" customHeight="1">
      <c r="A404" s="142" t="s">
        <v>1115</v>
      </c>
      <c r="B404" s="1387"/>
      <c r="C404" s="1385"/>
      <c r="D404" s="1385"/>
      <c r="E404" s="1385"/>
      <c r="F404" s="1385"/>
      <c r="G404" s="1385"/>
      <c r="H404" s="1385"/>
      <c r="I404" s="1385"/>
      <c r="J404" s="1388"/>
      <c r="K404" s="1419"/>
      <c r="L404" s="1387"/>
      <c r="M404" s="1387"/>
      <c r="N404" s="134"/>
      <c r="O404" s="134"/>
      <c r="P404" s="134"/>
      <c r="Q404" s="134"/>
      <c r="R404" s="134"/>
      <c r="S404" s="134"/>
      <c r="W404" s="33"/>
      <c r="X404" s="33"/>
      <c r="Y404" s="33"/>
    </row>
    <row r="405" spans="1:25" s="9" customFormat="1" ht="24.75" customHeight="1">
      <c r="A405" s="125" t="s">
        <v>1125</v>
      </c>
      <c r="B405" s="204"/>
      <c r="C405" s="131"/>
      <c r="D405" s="131"/>
      <c r="E405" s="131"/>
      <c r="F405" s="131"/>
      <c r="G405" s="131"/>
      <c r="H405" s="131"/>
      <c r="I405" s="1600" t="s">
        <v>1600</v>
      </c>
      <c r="J405" s="1719" t="s">
        <v>830</v>
      </c>
      <c r="K405" s="1721" t="s">
        <v>556</v>
      </c>
      <c r="L405" s="204"/>
      <c r="M405" s="204"/>
      <c r="N405" s="127"/>
      <c r="O405" s="134"/>
      <c r="P405" s="127"/>
      <c r="Q405" s="127"/>
      <c r="R405" s="127"/>
      <c r="S405" s="127"/>
      <c r="W405" s="33"/>
      <c r="X405" s="33"/>
      <c r="Y405" s="33"/>
    </row>
    <row r="406" spans="1:25" s="9" customFormat="1" ht="12" customHeight="1">
      <c r="A406" s="1681" t="s">
        <v>1117</v>
      </c>
      <c r="B406" s="1749" t="s">
        <v>1009</v>
      </c>
      <c r="C406" s="131"/>
      <c r="D406" s="131"/>
      <c r="E406" s="131"/>
      <c r="F406" s="131"/>
      <c r="G406" s="131"/>
      <c r="H406" s="131"/>
      <c r="I406" s="1600"/>
      <c r="J406" s="1719"/>
      <c r="K406" s="1721"/>
      <c r="L406" s="204" t="s">
        <v>25</v>
      </c>
      <c r="M406" s="204" t="s">
        <v>28</v>
      </c>
      <c r="N406" s="127">
        <v>115.13200000000001</v>
      </c>
      <c r="O406" s="134">
        <v>115.13200000000001</v>
      </c>
      <c r="P406" s="127">
        <v>0</v>
      </c>
      <c r="Q406" s="127"/>
      <c r="R406" s="127"/>
      <c r="S406" s="127"/>
      <c r="W406" s="33"/>
      <c r="X406" s="33"/>
      <c r="Y406" s="33"/>
    </row>
    <row r="407" spans="1:25" s="9" customFormat="1" ht="12" customHeight="1">
      <c r="A407" s="1681"/>
      <c r="B407" s="1749"/>
      <c r="C407" s="643"/>
      <c r="D407" s="643"/>
      <c r="E407" s="643"/>
      <c r="F407" s="643"/>
      <c r="G407" s="643"/>
      <c r="H407" s="643"/>
      <c r="I407" s="1600"/>
      <c r="J407" s="1719"/>
      <c r="K407" s="1721"/>
      <c r="L407" s="204" t="s">
        <v>25</v>
      </c>
      <c r="M407" s="204" t="s">
        <v>29</v>
      </c>
      <c r="N407" s="127">
        <v>777.11300000000006</v>
      </c>
      <c r="O407" s="134">
        <v>777.11300000000006</v>
      </c>
      <c r="P407" s="127">
        <v>0</v>
      </c>
      <c r="Q407" s="127"/>
      <c r="R407" s="127"/>
      <c r="S407" s="127"/>
      <c r="W407" s="33"/>
      <c r="X407" s="33"/>
      <c r="Y407" s="33"/>
    </row>
    <row r="408" spans="1:25" s="9" customFormat="1" ht="12" customHeight="1">
      <c r="A408" s="1681"/>
      <c r="B408" s="1749"/>
      <c r="C408" s="643"/>
      <c r="D408" s="643"/>
      <c r="E408" s="643"/>
      <c r="F408" s="643"/>
      <c r="G408" s="643"/>
      <c r="H408" s="643"/>
      <c r="I408" s="1600"/>
      <c r="J408" s="1719"/>
      <c r="K408" s="1721"/>
      <c r="L408" s="7" t="s">
        <v>25</v>
      </c>
      <c r="M408" s="7" t="s">
        <v>26</v>
      </c>
      <c r="N408" s="127">
        <v>352.60700000000003</v>
      </c>
      <c r="O408" s="134">
        <v>352.60700000000003</v>
      </c>
      <c r="P408" s="127">
        <v>0</v>
      </c>
      <c r="Q408" s="127"/>
      <c r="R408" s="127"/>
      <c r="S408" s="127"/>
      <c r="W408" s="33"/>
      <c r="X408" s="33"/>
      <c r="Y408" s="33"/>
    </row>
    <row r="409" spans="1:25" s="9" customFormat="1" ht="12" customHeight="1">
      <c r="A409" s="205"/>
      <c r="B409" s="221"/>
      <c r="C409" s="643"/>
      <c r="D409" s="643"/>
      <c r="E409" s="643"/>
      <c r="F409" s="643"/>
      <c r="G409" s="643"/>
      <c r="H409" s="643"/>
      <c r="I409" s="1600"/>
      <c r="J409" s="1719"/>
      <c r="K409" s="1721"/>
      <c r="L409" s="204" t="s">
        <v>33</v>
      </c>
      <c r="M409" s="204" t="s">
        <v>30</v>
      </c>
      <c r="N409" s="127">
        <v>288.91500000000002</v>
      </c>
      <c r="O409" s="134">
        <v>288.91500000000002</v>
      </c>
      <c r="P409" s="127">
        <v>0</v>
      </c>
      <c r="Q409" s="127"/>
      <c r="R409" s="127"/>
      <c r="S409" s="127"/>
      <c r="W409" s="33"/>
      <c r="X409" s="33"/>
      <c r="Y409" s="33"/>
    </row>
    <row r="410" spans="1:25" s="9" customFormat="1" ht="49.5" customHeight="1">
      <c r="A410" s="205"/>
      <c r="B410" s="221"/>
      <c r="C410" s="643"/>
      <c r="D410" s="643"/>
      <c r="E410" s="643"/>
      <c r="F410" s="643"/>
      <c r="G410" s="643"/>
      <c r="H410" s="643"/>
      <c r="I410" s="1447" t="s">
        <v>1583</v>
      </c>
      <c r="J410" s="4" t="s">
        <v>48</v>
      </c>
      <c r="K410" s="3" t="s">
        <v>1018</v>
      </c>
      <c r="L410" s="204" t="s">
        <v>31</v>
      </c>
      <c r="M410" s="204" t="s">
        <v>29</v>
      </c>
      <c r="N410" s="127">
        <v>165.57900000000001</v>
      </c>
      <c r="O410" s="134">
        <v>165.57900000000001</v>
      </c>
      <c r="P410" s="127">
        <v>0</v>
      </c>
      <c r="Q410" s="127"/>
      <c r="R410" s="127"/>
      <c r="S410" s="127"/>
      <c r="W410" s="33"/>
      <c r="X410" s="33"/>
      <c r="Y410" s="33"/>
    </row>
    <row r="411" spans="1:25" s="9" customFormat="1" ht="62.25" customHeight="1">
      <c r="A411" s="1382"/>
      <c r="B411" s="1446" t="s">
        <v>1008</v>
      </c>
      <c r="C411" s="1385"/>
      <c r="D411" s="1385"/>
      <c r="E411" s="1385"/>
      <c r="F411" s="1385"/>
      <c r="G411" s="1385"/>
      <c r="H411" s="1385"/>
      <c r="I411" s="1412" t="s">
        <v>1014</v>
      </c>
      <c r="J411" s="491" t="s">
        <v>48</v>
      </c>
      <c r="K411" s="644" t="s">
        <v>1015</v>
      </c>
      <c r="L411" s="206" t="s">
        <v>25</v>
      </c>
      <c r="M411" s="206" t="s">
        <v>29</v>
      </c>
      <c r="N411" s="134">
        <v>266.59199999999998</v>
      </c>
      <c r="O411" s="134">
        <v>266.59199999999998</v>
      </c>
      <c r="P411" s="134">
        <v>0</v>
      </c>
      <c r="Q411" s="134"/>
      <c r="R411" s="134"/>
      <c r="S411" s="134"/>
      <c r="W411" s="33"/>
      <c r="X411" s="33"/>
      <c r="Y411" s="33"/>
    </row>
    <row r="412" spans="1:25" s="9" customFormat="1" ht="78" customHeight="1">
      <c r="A412" s="142" t="s">
        <v>1114</v>
      </c>
      <c r="B412" s="1446"/>
      <c r="C412" s="1385"/>
      <c r="D412" s="1385"/>
      <c r="E412" s="1385"/>
      <c r="F412" s="1385"/>
      <c r="G412" s="1385"/>
      <c r="H412" s="1385"/>
      <c r="I412" s="1408" t="s">
        <v>1565</v>
      </c>
      <c r="J412" s="1388" t="s">
        <v>641</v>
      </c>
      <c r="K412" s="1419" t="s">
        <v>642</v>
      </c>
      <c r="L412" s="1446"/>
      <c r="M412" s="1446"/>
      <c r="N412" s="134"/>
      <c r="O412" s="134"/>
      <c r="P412" s="134"/>
      <c r="Q412" s="134"/>
      <c r="R412" s="134"/>
      <c r="S412" s="134"/>
      <c r="W412" s="33"/>
      <c r="X412" s="33"/>
      <c r="Y412" s="33"/>
    </row>
    <row r="413" spans="1:25" s="9" customFormat="1" ht="53.25" customHeight="1">
      <c r="A413" s="142" t="s">
        <v>1122</v>
      </c>
      <c r="B413" s="1446"/>
      <c r="C413" s="1750" t="s">
        <v>104</v>
      </c>
      <c r="D413" s="1385" t="s">
        <v>105</v>
      </c>
      <c r="E413" s="1385" t="s">
        <v>106</v>
      </c>
      <c r="F413" s="1750" t="s">
        <v>107</v>
      </c>
      <c r="G413" s="1385" t="s">
        <v>48</v>
      </c>
      <c r="H413" s="1385" t="s">
        <v>1398</v>
      </c>
      <c r="I413" s="1412" t="s">
        <v>564</v>
      </c>
      <c r="J413" s="491" t="s">
        <v>48</v>
      </c>
      <c r="K413" s="1419" t="s">
        <v>110</v>
      </c>
      <c r="L413" s="1446"/>
      <c r="M413" s="1446"/>
      <c r="N413" s="134"/>
      <c r="O413" s="134"/>
      <c r="P413" s="134"/>
      <c r="Q413" s="134"/>
      <c r="R413" s="134"/>
      <c r="S413" s="134"/>
      <c r="W413" s="33"/>
      <c r="X413" s="33"/>
      <c r="Y413" s="33"/>
    </row>
    <row r="414" spans="1:25" s="9" customFormat="1" ht="24">
      <c r="A414" s="126" t="s">
        <v>1124</v>
      </c>
      <c r="B414" s="1446"/>
      <c r="C414" s="1750"/>
      <c r="D414" s="1385"/>
      <c r="E414" s="1385"/>
      <c r="F414" s="1750"/>
      <c r="G414" s="1385"/>
      <c r="H414" s="1385"/>
      <c r="I414" s="1412"/>
      <c r="J414" s="491"/>
      <c r="K414" s="644"/>
      <c r="L414" s="1446" t="s">
        <v>25</v>
      </c>
      <c r="M414" s="1446" t="s">
        <v>19</v>
      </c>
      <c r="N414" s="134">
        <v>0</v>
      </c>
      <c r="O414" s="134">
        <v>0</v>
      </c>
      <c r="P414" s="134">
        <v>3388.92</v>
      </c>
      <c r="Q414" s="134">
        <v>4471.3</v>
      </c>
      <c r="R414" s="134">
        <v>4055.2</v>
      </c>
      <c r="S414" s="134">
        <v>4055.2</v>
      </c>
      <c r="W414" s="33"/>
      <c r="X414" s="33"/>
      <c r="Y414" s="33"/>
    </row>
    <row r="415" spans="1:25" s="9" customFormat="1" ht="187.5" customHeight="1">
      <c r="A415" s="125" t="s">
        <v>691</v>
      </c>
      <c r="B415" s="221"/>
      <c r="C415" s="643" t="s">
        <v>43</v>
      </c>
      <c r="D415" s="643" t="s">
        <v>92</v>
      </c>
      <c r="E415" s="652" t="s">
        <v>44</v>
      </c>
      <c r="F415" s="643" t="s">
        <v>251</v>
      </c>
      <c r="G415" s="643" t="s">
        <v>1399</v>
      </c>
      <c r="H415" s="643" t="s">
        <v>45</v>
      </c>
      <c r="I415" s="1443" t="s">
        <v>1586</v>
      </c>
      <c r="J415" s="133" t="s">
        <v>48</v>
      </c>
      <c r="K415" s="1385" t="s">
        <v>320</v>
      </c>
      <c r="L415" s="206" t="s">
        <v>25</v>
      </c>
      <c r="M415" s="206" t="s">
        <v>28</v>
      </c>
      <c r="N415" s="8">
        <f>2586.258</f>
        <v>2586.2579999999998</v>
      </c>
      <c r="O415" s="134">
        <v>2586.2579999999998</v>
      </c>
      <c r="P415" s="127">
        <v>2771.79</v>
      </c>
      <c r="Q415" s="127">
        <v>2771.7</v>
      </c>
      <c r="R415" s="127">
        <v>2771.7</v>
      </c>
      <c r="S415" s="127">
        <v>2771.7</v>
      </c>
      <c r="W415" s="33"/>
      <c r="X415" s="33"/>
      <c r="Y415" s="33"/>
    </row>
    <row r="416" spans="1:25" s="9" customFormat="1" ht="51.75" customHeight="1">
      <c r="A416" s="128"/>
      <c r="B416" s="221"/>
      <c r="C416" s="643" t="s">
        <v>391</v>
      </c>
      <c r="D416" s="643" t="s">
        <v>392</v>
      </c>
      <c r="E416" s="652" t="s">
        <v>393</v>
      </c>
      <c r="F416" s="643"/>
      <c r="G416" s="643"/>
      <c r="H416" s="643"/>
      <c r="I416" s="1443" t="s">
        <v>1022</v>
      </c>
      <c r="J416" s="653" t="s">
        <v>1020</v>
      </c>
      <c r="K416" s="1385" t="s">
        <v>1585</v>
      </c>
      <c r="L416" s="206"/>
      <c r="M416" s="206"/>
      <c r="N416" s="8"/>
      <c r="O416" s="134"/>
      <c r="P416" s="8"/>
      <c r="Q416" s="8"/>
      <c r="R416" s="8"/>
      <c r="S416" s="8"/>
      <c r="W416" s="33"/>
      <c r="X416" s="33"/>
      <c r="Y416" s="33"/>
    </row>
    <row r="417" spans="1:25" s="9" customFormat="1" ht="38.25" customHeight="1">
      <c r="A417" s="12"/>
      <c r="B417" s="11"/>
      <c r="C417" s="458"/>
      <c r="D417" s="458"/>
      <c r="E417" s="654"/>
      <c r="F417" s="458"/>
      <c r="G417" s="458"/>
      <c r="H417" s="458"/>
      <c r="I417" s="494" t="s">
        <v>93</v>
      </c>
      <c r="J417" s="458" t="s">
        <v>94</v>
      </c>
      <c r="K417" s="486" t="s">
        <v>95</v>
      </c>
      <c r="L417" s="35" t="s">
        <v>25</v>
      </c>
      <c r="M417" s="35" t="s">
        <v>29</v>
      </c>
      <c r="N417" s="84">
        <v>40889.775000000001</v>
      </c>
      <c r="O417" s="419">
        <v>40888.199999999997</v>
      </c>
      <c r="P417" s="84">
        <f>44600.9-197.1</f>
        <v>44403.8</v>
      </c>
      <c r="Q417" s="84">
        <v>47628.4</v>
      </c>
      <c r="R417" s="84">
        <v>47322</v>
      </c>
      <c r="S417" s="84">
        <v>47322</v>
      </c>
      <c r="W417" s="33"/>
      <c r="X417" s="33"/>
      <c r="Y417" s="33"/>
    </row>
    <row r="418" spans="1:25" s="9" customFormat="1" ht="102" customHeight="1">
      <c r="A418" s="12"/>
      <c r="B418" s="11"/>
      <c r="C418" s="458" t="s">
        <v>253</v>
      </c>
      <c r="D418" s="458" t="s">
        <v>404</v>
      </c>
      <c r="E418" s="458" t="s">
        <v>46</v>
      </c>
      <c r="F418" s="458" t="s">
        <v>396</v>
      </c>
      <c r="G418" s="458" t="s">
        <v>405</v>
      </c>
      <c r="H418" s="458" t="s">
        <v>1400</v>
      </c>
      <c r="I418" s="655" t="s">
        <v>700</v>
      </c>
      <c r="J418" s="655" t="s">
        <v>48</v>
      </c>
      <c r="K418" s="656" t="s">
        <v>51</v>
      </c>
      <c r="L418" s="35" t="s">
        <v>25</v>
      </c>
      <c r="M418" s="35" t="s">
        <v>26</v>
      </c>
      <c r="N418" s="84">
        <v>19758.167000000001</v>
      </c>
      <c r="O418" s="419">
        <v>19756.992999999999</v>
      </c>
      <c r="P418" s="84">
        <v>22865.09</v>
      </c>
      <c r="Q418" s="84">
        <f>2789.5+20600.5</f>
        <v>23390</v>
      </c>
      <c r="R418" s="84">
        <f>2733.5+20573.7</f>
        <v>23307.200000000001</v>
      </c>
      <c r="S418" s="84">
        <f>2733.5+20573.7</f>
        <v>23307.200000000001</v>
      </c>
      <c r="W418" s="33"/>
      <c r="X418" s="33"/>
      <c r="Y418" s="33"/>
    </row>
    <row r="419" spans="1:25" s="9" customFormat="1" ht="87" customHeight="1">
      <c r="A419" s="12"/>
      <c r="B419" s="11"/>
      <c r="C419" s="655" t="s">
        <v>414</v>
      </c>
      <c r="D419" s="655" t="s">
        <v>415</v>
      </c>
      <c r="E419" s="181" t="s">
        <v>166</v>
      </c>
      <c r="F419" s="458"/>
      <c r="G419" s="458"/>
      <c r="H419" s="458"/>
      <c r="I419" s="655" t="s">
        <v>1587</v>
      </c>
      <c r="J419" s="655" t="s">
        <v>97</v>
      </c>
      <c r="K419" s="656" t="s">
        <v>98</v>
      </c>
      <c r="L419" s="35" t="s">
        <v>33</v>
      </c>
      <c r="M419" s="35" t="s">
        <v>30</v>
      </c>
      <c r="N419" s="84">
        <v>17818.791000000001</v>
      </c>
      <c r="O419" s="419">
        <f>17615.164-0.1</f>
        <v>17615.064000000002</v>
      </c>
      <c r="P419" s="84">
        <v>20714.330000000002</v>
      </c>
      <c r="Q419" s="84">
        <v>21591.9</v>
      </c>
      <c r="R419" s="84">
        <v>21591.9</v>
      </c>
      <c r="S419" s="84">
        <v>21591.9</v>
      </c>
      <c r="W419" s="33"/>
      <c r="X419" s="33"/>
      <c r="Y419" s="33"/>
    </row>
    <row r="420" spans="1:25" s="9" customFormat="1" ht="72">
      <c r="A420" s="657"/>
      <c r="B420" s="52"/>
      <c r="C420" s="343"/>
      <c r="D420" s="343"/>
      <c r="E420" s="343"/>
      <c r="F420" s="343"/>
      <c r="G420" s="343"/>
      <c r="H420" s="343"/>
      <c r="I420" s="458" t="s">
        <v>463</v>
      </c>
      <c r="J420" s="289" t="s">
        <v>48</v>
      </c>
      <c r="K420" s="349" t="s">
        <v>80</v>
      </c>
      <c r="L420" s="103" t="s">
        <v>31</v>
      </c>
      <c r="M420" s="103" t="s">
        <v>29</v>
      </c>
      <c r="N420" s="89">
        <v>9147.7559999999994</v>
      </c>
      <c r="O420" s="512">
        <v>9147.7559999999994</v>
      </c>
      <c r="P420" s="89">
        <v>10457.9</v>
      </c>
      <c r="Q420" s="89">
        <v>11075</v>
      </c>
      <c r="R420" s="89">
        <v>10931.1</v>
      </c>
      <c r="S420" s="89">
        <v>10931.1</v>
      </c>
      <c r="W420" s="33"/>
      <c r="X420" s="33"/>
      <c r="Y420" s="33"/>
    </row>
    <row r="421" spans="1:25" s="18" customFormat="1" ht="53.25" hidden="1" customHeight="1">
      <c r="A421" s="56" t="s">
        <v>361</v>
      </c>
      <c r="B421" s="57">
        <v>1203</v>
      </c>
      <c r="C421" s="658"/>
      <c r="D421" s="658"/>
      <c r="E421" s="658"/>
      <c r="F421" s="658"/>
      <c r="G421" s="658"/>
      <c r="H421" s="658"/>
      <c r="I421" s="658"/>
      <c r="J421" s="659"/>
      <c r="K421" s="660"/>
      <c r="L421" s="105"/>
      <c r="M421" s="105"/>
      <c r="N421" s="109"/>
      <c r="O421" s="109"/>
      <c r="P421" s="109"/>
      <c r="Q421" s="109"/>
      <c r="R421" s="109"/>
      <c r="S421" s="109"/>
      <c r="W421" s="19"/>
      <c r="X421" s="19"/>
      <c r="Y421" s="19"/>
    </row>
    <row r="422" spans="1:25" s="18" customFormat="1" ht="53.25" hidden="1" customHeight="1">
      <c r="A422" s="322" t="s">
        <v>362</v>
      </c>
      <c r="B422" s="57">
        <v>1204</v>
      </c>
      <c r="C422" s="661" t="s">
        <v>40</v>
      </c>
      <c r="D422" s="661" t="s">
        <v>257</v>
      </c>
      <c r="E422" s="662" t="s">
        <v>96</v>
      </c>
      <c r="F422" s="56" t="s">
        <v>24</v>
      </c>
      <c r="G422" s="56" t="s">
        <v>24</v>
      </c>
      <c r="H422" s="56" t="s">
        <v>24</v>
      </c>
      <c r="I422" s="663" t="s">
        <v>259</v>
      </c>
      <c r="J422" s="664" t="s">
        <v>48</v>
      </c>
      <c r="K422" s="665" t="s">
        <v>260</v>
      </c>
      <c r="L422" s="666" t="s">
        <v>19</v>
      </c>
      <c r="M422" s="667" t="s">
        <v>25</v>
      </c>
      <c r="N422" s="668"/>
      <c r="O422" s="1501"/>
      <c r="P422" s="668"/>
      <c r="Q422" s="668"/>
      <c r="R422" s="668"/>
      <c r="S422" s="668"/>
      <c r="W422" s="19"/>
      <c r="X422" s="19"/>
      <c r="Y422" s="19"/>
    </row>
    <row r="423" spans="1:25" s="18" customFormat="1" ht="53.25" hidden="1" customHeight="1">
      <c r="A423" s="669" t="s">
        <v>692</v>
      </c>
      <c r="B423" s="670">
        <v>1206</v>
      </c>
      <c r="C423" s="671" t="s">
        <v>40</v>
      </c>
      <c r="D423" s="671" t="s">
        <v>256</v>
      </c>
      <c r="E423" s="671" t="s">
        <v>41</v>
      </c>
      <c r="F423" s="671"/>
      <c r="G423" s="671"/>
      <c r="H423" s="671"/>
      <c r="I423" s="671" t="s">
        <v>576</v>
      </c>
      <c r="J423" s="671" t="s">
        <v>48</v>
      </c>
      <c r="K423" s="672" t="s">
        <v>42</v>
      </c>
      <c r="L423" s="673" t="s">
        <v>25</v>
      </c>
      <c r="M423" s="674" t="s">
        <v>29</v>
      </c>
      <c r="N423" s="675">
        <v>0</v>
      </c>
      <c r="O423" s="1511"/>
      <c r="P423" s="675">
        <v>0</v>
      </c>
      <c r="Q423" s="675">
        <v>0</v>
      </c>
      <c r="R423" s="675">
        <v>0</v>
      </c>
      <c r="S423" s="675">
        <v>0</v>
      </c>
      <c r="W423" s="19"/>
      <c r="X423" s="19"/>
      <c r="Y423" s="19"/>
    </row>
    <row r="424" spans="1:25" s="18" customFormat="1" ht="106.5" customHeight="1">
      <c r="A424" s="538" t="s">
        <v>363</v>
      </c>
      <c r="B424" s="559">
        <v>1208</v>
      </c>
      <c r="C424" s="1341" t="s">
        <v>40</v>
      </c>
      <c r="D424" s="1437" t="s">
        <v>100</v>
      </c>
      <c r="E424" s="1437" t="s">
        <v>1159</v>
      </c>
      <c r="F424" s="538" t="s">
        <v>24</v>
      </c>
      <c r="G424" s="538" t="s">
        <v>24</v>
      </c>
      <c r="H424" s="538" t="s">
        <v>24</v>
      </c>
      <c r="I424" s="538" t="s">
        <v>24</v>
      </c>
      <c r="J424" s="538" t="s">
        <v>24</v>
      </c>
      <c r="K424" s="538" t="s">
        <v>24</v>
      </c>
      <c r="L424" s="559" t="s">
        <v>25</v>
      </c>
      <c r="M424" s="559" t="s">
        <v>19</v>
      </c>
      <c r="N424" s="561">
        <f>SUM(N425:N434)</f>
        <v>15769.656999999999</v>
      </c>
      <c r="O424" s="1506">
        <f t="shared" ref="O424:P424" si="56">SUM(O425:O434)</f>
        <v>15747.182000000001</v>
      </c>
      <c r="P424" s="561">
        <f t="shared" si="56"/>
        <v>10065.1</v>
      </c>
      <c r="Q424" s="1533">
        <f>SUM(Q425:Q434)</f>
        <v>12893.1</v>
      </c>
      <c r="R424" s="1533">
        <f t="shared" ref="R424:S424" si="57">SUM(R425:R434)</f>
        <v>11432.6</v>
      </c>
      <c r="S424" s="1533">
        <f t="shared" si="57"/>
        <v>11505.6</v>
      </c>
      <c r="W424" s="19"/>
      <c r="X424" s="19"/>
      <c r="Y424" s="19"/>
    </row>
    <row r="425" spans="1:25" s="9" customFormat="1" ht="13.5" customHeight="1">
      <c r="A425" s="676" t="s">
        <v>693</v>
      </c>
      <c r="B425" s="365"/>
      <c r="C425" s="1595" t="s">
        <v>104</v>
      </c>
      <c r="D425" s="1595" t="s">
        <v>105</v>
      </c>
      <c r="E425" s="1717" t="s">
        <v>106</v>
      </c>
      <c r="F425" s="1595" t="s">
        <v>107</v>
      </c>
      <c r="G425" s="1595" t="s">
        <v>108</v>
      </c>
      <c r="H425" s="1595" t="s">
        <v>109</v>
      </c>
      <c r="I425" s="677"/>
      <c r="J425" s="677"/>
      <c r="K425" s="677"/>
      <c r="L425" s="540"/>
      <c r="M425" s="540"/>
      <c r="N425" s="477"/>
      <c r="O425" s="1507"/>
      <c r="P425" s="477"/>
      <c r="Q425" s="484"/>
      <c r="R425" s="484"/>
      <c r="S425" s="484"/>
      <c r="W425" s="33"/>
      <c r="X425" s="33"/>
      <c r="Y425" s="33"/>
    </row>
    <row r="426" spans="1:25" s="9" customFormat="1" ht="75.75" customHeight="1">
      <c r="A426" s="125" t="s">
        <v>764</v>
      </c>
      <c r="B426" s="204"/>
      <c r="C426" s="1617"/>
      <c r="D426" s="1617"/>
      <c r="E426" s="1619"/>
      <c r="F426" s="1617"/>
      <c r="G426" s="1617"/>
      <c r="H426" s="1617"/>
      <c r="I426" s="678" t="s">
        <v>1565</v>
      </c>
      <c r="J426" s="678" t="s">
        <v>641</v>
      </c>
      <c r="K426" s="678" t="s">
        <v>642</v>
      </c>
      <c r="L426" s="204"/>
      <c r="M426" s="204"/>
      <c r="N426" s="127"/>
      <c r="O426" s="134"/>
      <c r="P426" s="127"/>
      <c r="Q426" s="314"/>
      <c r="R426" s="314"/>
      <c r="S426" s="314"/>
      <c r="W426" s="33"/>
      <c r="X426" s="33"/>
      <c r="Y426" s="33"/>
    </row>
    <row r="427" spans="1:25" s="9" customFormat="1" ht="24" customHeight="1">
      <c r="A427" s="128" t="s">
        <v>765</v>
      </c>
      <c r="B427" s="204"/>
      <c r="C427" s="1617"/>
      <c r="D427" s="1617"/>
      <c r="E427" s="1619"/>
      <c r="F427" s="1617"/>
      <c r="G427" s="1617"/>
      <c r="H427" s="1617"/>
      <c r="I427" s="1617" t="s">
        <v>564</v>
      </c>
      <c r="J427" s="1617" t="s">
        <v>48</v>
      </c>
      <c r="K427" s="1617" t="s">
        <v>110</v>
      </c>
      <c r="L427" s="204"/>
      <c r="M427" s="204"/>
      <c r="N427" s="127">
        <v>4662.9750000000004</v>
      </c>
      <c r="O427" s="134">
        <v>4657.9219999999996</v>
      </c>
      <c r="P427" s="127">
        <v>0</v>
      </c>
      <c r="Q427" s="314"/>
      <c r="R427" s="314"/>
      <c r="S427" s="314"/>
      <c r="W427" s="33"/>
      <c r="X427" s="33"/>
      <c r="Y427" s="33"/>
    </row>
    <row r="428" spans="1:25" s="9" customFormat="1" ht="24" customHeight="1">
      <c r="A428" s="128" t="s">
        <v>766</v>
      </c>
      <c r="B428" s="204"/>
      <c r="C428" s="1617"/>
      <c r="D428" s="1751"/>
      <c r="E428" s="138"/>
      <c r="F428" s="1617"/>
      <c r="G428" s="1617"/>
      <c r="H428" s="1617"/>
      <c r="I428" s="1617"/>
      <c r="J428" s="1617"/>
      <c r="K428" s="1617"/>
      <c r="L428" s="204"/>
      <c r="M428" s="204"/>
      <c r="N428" s="127">
        <v>214.4</v>
      </c>
      <c r="O428" s="134">
        <v>214.4</v>
      </c>
      <c r="P428" s="127">
        <v>0</v>
      </c>
      <c r="Q428" s="314"/>
      <c r="R428" s="314"/>
      <c r="S428" s="314"/>
      <c r="W428" s="33"/>
      <c r="X428" s="33"/>
      <c r="Y428" s="33"/>
    </row>
    <row r="429" spans="1:25" s="9" customFormat="1" ht="24" customHeight="1">
      <c r="A429" s="679" t="s">
        <v>823</v>
      </c>
      <c r="B429" s="221"/>
      <c r="C429" s="1617"/>
      <c r="D429" s="1751"/>
      <c r="E429" s="138"/>
      <c r="F429" s="643"/>
      <c r="G429" s="643"/>
      <c r="H429" s="643"/>
      <c r="I429" s="1675" t="s">
        <v>1601</v>
      </c>
      <c r="J429" s="643" t="s">
        <v>824</v>
      </c>
      <c r="K429" s="643" t="s">
        <v>556</v>
      </c>
      <c r="L429" s="221"/>
      <c r="M429" s="221"/>
      <c r="N429" s="8"/>
      <c r="O429" s="134"/>
      <c r="P429" s="8"/>
      <c r="Q429" s="314"/>
      <c r="R429" s="314"/>
      <c r="S429" s="314"/>
      <c r="W429" s="33"/>
      <c r="X429" s="33"/>
      <c r="Y429" s="33"/>
    </row>
    <row r="430" spans="1:25" s="9" customFormat="1" ht="51.75" customHeight="1">
      <c r="A430" s="226" t="s">
        <v>825</v>
      </c>
      <c r="B430" s="1446" t="s">
        <v>1009</v>
      </c>
      <c r="C430" s="1617"/>
      <c r="D430" s="1751"/>
      <c r="E430" s="138"/>
      <c r="F430" s="643"/>
      <c r="G430" s="643"/>
      <c r="H430" s="643"/>
      <c r="I430" s="1675"/>
      <c r="J430" s="643"/>
      <c r="K430" s="643"/>
      <c r="L430" s="221"/>
      <c r="M430" s="221"/>
      <c r="N430" s="8">
        <f>55.952-0.1</f>
        <v>55.851999999999997</v>
      </c>
      <c r="O430" s="134">
        <f>55.952-0.05</f>
        <v>55.902000000000001</v>
      </c>
      <c r="P430" s="8">
        <v>0</v>
      </c>
      <c r="Q430" s="314"/>
      <c r="R430" s="314"/>
      <c r="S430" s="314"/>
      <c r="W430" s="33"/>
      <c r="X430" s="33"/>
      <c r="Y430" s="33"/>
    </row>
    <row r="431" spans="1:25" s="9" customFormat="1" ht="51.75" customHeight="1">
      <c r="A431" s="226"/>
      <c r="B431" s="1446"/>
      <c r="C431" s="680"/>
      <c r="D431" s="138"/>
      <c r="E431" s="138"/>
      <c r="F431" s="643"/>
      <c r="G431" s="643"/>
      <c r="H431" s="643"/>
      <c r="I431" s="1443" t="s">
        <v>1583</v>
      </c>
      <c r="J431" s="643" t="s">
        <v>1019</v>
      </c>
      <c r="K431" s="643" t="s">
        <v>1018</v>
      </c>
      <c r="L431" s="221"/>
      <c r="M431" s="221"/>
      <c r="N431" s="8"/>
      <c r="O431" s="134"/>
      <c r="P431" s="8"/>
      <c r="Q431" s="314"/>
      <c r="R431" s="314"/>
      <c r="S431" s="314"/>
      <c r="W431" s="33"/>
      <c r="X431" s="33"/>
      <c r="Y431" s="33"/>
    </row>
    <row r="432" spans="1:25" s="9" customFormat="1" ht="48">
      <c r="A432" s="125" t="s">
        <v>694</v>
      </c>
      <c r="B432" s="681"/>
      <c r="C432" s="680"/>
      <c r="D432" s="138"/>
      <c r="E432" s="138"/>
      <c r="F432" s="131"/>
      <c r="G432" s="131"/>
      <c r="H432" s="131"/>
      <c r="I432" s="131" t="s">
        <v>101</v>
      </c>
      <c r="J432" s="131" t="s">
        <v>102</v>
      </c>
      <c r="K432" s="131" t="s">
        <v>103</v>
      </c>
      <c r="L432" s="204"/>
      <c r="M432" s="204"/>
      <c r="N432" s="127"/>
      <c r="O432" s="134"/>
      <c r="P432" s="127"/>
      <c r="Q432" s="314"/>
      <c r="R432" s="314"/>
      <c r="S432" s="314"/>
      <c r="W432" s="33"/>
      <c r="X432" s="33"/>
      <c r="Y432" s="33"/>
    </row>
    <row r="433" spans="1:25" s="9" customFormat="1" ht="35.25" customHeight="1">
      <c r="A433" s="128" t="s">
        <v>1230</v>
      </c>
      <c r="B433" s="681"/>
      <c r="C433" s="1617" t="s">
        <v>253</v>
      </c>
      <c r="D433" s="138"/>
      <c r="E433" s="138"/>
      <c r="F433" s="1617" t="s">
        <v>252</v>
      </c>
      <c r="G433" s="1617" t="s">
        <v>402</v>
      </c>
      <c r="H433" s="1617" t="s">
        <v>47</v>
      </c>
      <c r="I433" s="1617" t="s">
        <v>1231</v>
      </c>
      <c r="J433" s="1617" t="s">
        <v>1232</v>
      </c>
      <c r="K433" s="1617" t="s">
        <v>443</v>
      </c>
      <c r="L433" s="204"/>
      <c r="M433" s="204"/>
      <c r="N433" s="127">
        <v>10836.43</v>
      </c>
      <c r="O433" s="134">
        <v>10818.958000000001</v>
      </c>
      <c r="P433" s="127">
        <v>10065.1</v>
      </c>
      <c r="Q433" s="314">
        <v>12893.1</v>
      </c>
      <c r="R433" s="314">
        <v>11432.6</v>
      </c>
      <c r="S433" s="314">
        <v>11505.6</v>
      </c>
      <c r="W433" s="33"/>
      <c r="X433" s="33"/>
      <c r="Y433" s="33"/>
    </row>
    <row r="434" spans="1:25" s="9" customFormat="1" ht="126" customHeight="1">
      <c r="A434" s="541"/>
      <c r="B434" s="543"/>
      <c r="C434" s="1596"/>
      <c r="D434" s="645" t="s">
        <v>78</v>
      </c>
      <c r="E434" s="645" t="s">
        <v>46</v>
      </c>
      <c r="F434" s="1596"/>
      <c r="G434" s="1596"/>
      <c r="H434" s="1596"/>
      <c r="I434" s="1596"/>
      <c r="J434" s="1596"/>
      <c r="K434" s="1596"/>
      <c r="L434" s="543"/>
      <c r="M434" s="543"/>
      <c r="N434" s="545"/>
      <c r="O434" s="637"/>
      <c r="P434" s="545"/>
      <c r="Q434" s="1524"/>
      <c r="R434" s="1524"/>
      <c r="S434" s="1524"/>
      <c r="W434" s="33"/>
      <c r="X434" s="33"/>
      <c r="Y434" s="33"/>
    </row>
    <row r="435" spans="1:25" s="18" customFormat="1" ht="96" customHeight="1">
      <c r="A435" s="1722" t="s">
        <v>1233</v>
      </c>
      <c r="B435" s="682">
        <v>1213</v>
      </c>
      <c r="C435" s="683" t="s">
        <v>254</v>
      </c>
      <c r="D435" s="683" t="s">
        <v>111</v>
      </c>
      <c r="E435" s="683" t="s">
        <v>112</v>
      </c>
      <c r="F435" s="683" t="s">
        <v>255</v>
      </c>
      <c r="G435" s="683" t="s">
        <v>113</v>
      </c>
      <c r="H435" s="683" t="s">
        <v>114</v>
      </c>
      <c r="I435" s="683" t="s">
        <v>486</v>
      </c>
      <c r="J435" s="683" t="s">
        <v>102</v>
      </c>
      <c r="K435" s="683" t="s">
        <v>45</v>
      </c>
      <c r="L435" s="60" t="s">
        <v>25</v>
      </c>
      <c r="M435" s="60" t="s">
        <v>33</v>
      </c>
      <c r="N435" s="59">
        <v>42.594000000000001</v>
      </c>
      <c r="O435" s="1498">
        <v>42.594000000000001</v>
      </c>
      <c r="P435" s="59">
        <f>4972.6+42.392+632.081</f>
        <v>5647.0730000000003</v>
      </c>
      <c r="Q435" s="59">
        <v>0</v>
      </c>
      <c r="R435" s="59">
        <v>0</v>
      </c>
      <c r="S435" s="59">
        <v>0</v>
      </c>
      <c r="W435" s="19"/>
      <c r="X435" s="19"/>
      <c r="Y435" s="19"/>
    </row>
    <row r="436" spans="1:25" s="18" customFormat="1" ht="96">
      <c r="A436" s="1745"/>
      <c r="B436" s="684"/>
      <c r="C436" s="685" t="s">
        <v>115</v>
      </c>
      <c r="D436" s="685" t="s">
        <v>116</v>
      </c>
      <c r="E436" s="685" t="s">
        <v>117</v>
      </c>
      <c r="F436" s="685" t="s">
        <v>118</v>
      </c>
      <c r="G436" s="685" t="s">
        <v>119</v>
      </c>
      <c r="H436" s="685" t="s">
        <v>120</v>
      </c>
      <c r="I436" s="685"/>
      <c r="J436" s="686"/>
      <c r="K436" s="685"/>
      <c r="L436" s="687"/>
      <c r="M436" s="687"/>
      <c r="N436" s="668"/>
      <c r="O436" s="1501"/>
      <c r="P436" s="668"/>
      <c r="Q436" s="668"/>
      <c r="R436" s="668"/>
      <c r="S436" s="668"/>
      <c r="W436" s="19"/>
      <c r="X436" s="19"/>
      <c r="Y436" s="19"/>
    </row>
    <row r="437" spans="1:25" s="18" customFormat="1" ht="60" customHeight="1">
      <c r="A437" s="1745"/>
      <c r="B437" s="487"/>
      <c r="C437" s="685" t="s">
        <v>40</v>
      </c>
      <c r="D437" s="685" t="s">
        <v>121</v>
      </c>
      <c r="E437" s="685" t="s">
        <v>1159</v>
      </c>
      <c r="F437" s="685" t="s">
        <v>122</v>
      </c>
      <c r="G437" s="685" t="s">
        <v>123</v>
      </c>
      <c r="H437" s="685" t="s">
        <v>124</v>
      </c>
      <c r="I437" s="685"/>
      <c r="J437" s="686"/>
      <c r="K437" s="685"/>
      <c r="L437" s="687"/>
      <c r="M437" s="687"/>
      <c r="N437" s="668"/>
      <c r="O437" s="1501"/>
      <c r="P437" s="668"/>
      <c r="Q437" s="668"/>
      <c r="R437" s="668"/>
      <c r="S437" s="668"/>
      <c r="W437" s="19"/>
      <c r="X437" s="19"/>
      <c r="Y437" s="19"/>
    </row>
    <row r="438" spans="1:25" s="18" customFormat="1" ht="63.75" customHeight="1">
      <c r="A438" s="1746"/>
      <c r="B438" s="684"/>
      <c r="C438" s="688" t="s">
        <v>125</v>
      </c>
      <c r="D438" s="688" t="s">
        <v>126</v>
      </c>
      <c r="E438" s="688" t="s">
        <v>127</v>
      </c>
      <c r="F438" s="102"/>
      <c r="G438" s="102"/>
      <c r="H438" s="102"/>
      <c r="I438" s="689"/>
      <c r="J438" s="689"/>
      <c r="K438" s="689"/>
      <c r="L438" s="73"/>
      <c r="M438" s="690"/>
      <c r="N438" s="17"/>
      <c r="O438" s="1501"/>
      <c r="P438" s="17"/>
      <c r="Q438" s="17"/>
      <c r="R438" s="17"/>
      <c r="S438" s="17"/>
      <c r="W438" s="19"/>
      <c r="X438" s="19"/>
      <c r="Y438" s="19"/>
    </row>
    <row r="439" spans="1:25" s="18" customFormat="1" ht="144.75" customHeight="1">
      <c r="A439" s="691" t="s">
        <v>446</v>
      </c>
      <c r="B439" s="692">
        <v>1219</v>
      </c>
      <c r="C439" s="693" t="s">
        <v>40</v>
      </c>
      <c r="D439" s="693" t="s">
        <v>1234</v>
      </c>
      <c r="E439" s="694" t="s">
        <v>1235</v>
      </c>
      <c r="F439" s="1450"/>
      <c r="G439" s="1450"/>
      <c r="H439" s="1450"/>
      <c r="I439" s="1450"/>
      <c r="J439" s="1450"/>
      <c r="K439" s="1450"/>
      <c r="L439" s="695"/>
      <c r="M439" s="695"/>
      <c r="N439" s="696">
        <f t="shared" ref="N439:S439" si="58">SUM(N440:N448)</f>
        <v>344.18000000000006</v>
      </c>
      <c r="O439" s="696">
        <f t="shared" si="58"/>
        <v>339.03000000000003</v>
      </c>
      <c r="P439" s="696">
        <f t="shared" si="58"/>
        <v>405.05200000000002</v>
      </c>
      <c r="Q439" s="696">
        <f t="shared" si="58"/>
        <v>495.70000000000005</v>
      </c>
      <c r="R439" s="696">
        <f t="shared" si="58"/>
        <v>403.4</v>
      </c>
      <c r="S439" s="696">
        <f t="shared" si="58"/>
        <v>403.4</v>
      </c>
      <c r="W439" s="19"/>
      <c r="X439" s="19"/>
      <c r="Y439" s="19"/>
    </row>
    <row r="440" spans="1:25" s="18" customFormat="1" ht="36">
      <c r="A440" s="697" t="s">
        <v>652</v>
      </c>
      <c r="B440" s="695"/>
      <c r="C440" s="698" t="s">
        <v>414</v>
      </c>
      <c r="D440" s="655" t="s">
        <v>48</v>
      </c>
      <c r="E440" s="1424" t="s">
        <v>166</v>
      </c>
      <c r="F440" s="1732" t="s">
        <v>251</v>
      </c>
      <c r="G440" s="1732" t="s">
        <v>1236</v>
      </c>
      <c r="H440" s="1747" t="s">
        <v>45</v>
      </c>
      <c r="I440" s="1450"/>
      <c r="J440" s="1410"/>
      <c r="K440" s="699"/>
      <c r="L440" s="700" t="s">
        <v>33</v>
      </c>
      <c r="M440" s="700" t="s">
        <v>27</v>
      </c>
      <c r="N440" s="701"/>
      <c r="O440" s="701"/>
      <c r="P440" s="701"/>
      <c r="Q440" s="1380"/>
      <c r="R440" s="701"/>
      <c r="S440" s="701"/>
      <c r="W440" s="19"/>
      <c r="X440" s="19"/>
      <c r="Y440" s="19"/>
    </row>
    <row r="441" spans="1:25" s="18" customFormat="1" ht="24">
      <c r="A441" s="702" t="s">
        <v>1237</v>
      </c>
      <c r="B441" s="703"/>
      <c r="C441" s="698"/>
      <c r="D441" s="655"/>
      <c r="E441" s="1424"/>
      <c r="F441" s="1708"/>
      <c r="G441" s="1708"/>
      <c r="H441" s="1748"/>
      <c r="I441" s="1708" t="s">
        <v>1600</v>
      </c>
      <c r="J441" s="1578" t="s">
        <v>649</v>
      </c>
      <c r="K441" s="1733" t="s">
        <v>556</v>
      </c>
      <c r="L441" s="703"/>
      <c r="M441" s="703"/>
      <c r="N441" s="704"/>
      <c r="O441" s="704"/>
      <c r="P441" s="704"/>
      <c r="Q441" s="1534"/>
      <c r="R441" s="704"/>
      <c r="S441" s="704"/>
      <c r="W441" s="19"/>
      <c r="X441" s="19"/>
      <c r="Y441" s="19"/>
    </row>
    <row r="442" spans="1:25" s="18" customFormat="1" ht="51.75" customHeight="1">
      <c r="A442" s="276" t="s">
        <v>767</v>
      </c>
      <c r="B442" s="703"/>
      <c r="C442" s="698"/>
      <c r="D442" s="655"/>
      <c r="E442" s="1424"/>
      <c r="F442" s="1708"/>
      <c r="G442" s="1708"/>
      <c r="H442" s="1748"/>
      <c r="I442" s="1708"/>
      <c r="J442" s="1578"/>
      <c r="K442" s="1733"/>
      <c r="L442" s="703"/>
      <c r="M442" s="703"/>
      <c r="N442" s="704">
        <v>96.4</v>
      </c>
      <c r="O442" s="704">
        <v>96.4</v>
      </c>
      <c r="P442" s="704">
        <v>92.3</v>
      </c>
      <c r="Q442" s="1534">
        <v>92.3</v>
      </c>
      <c r="R442" s="704">
        <v>0</v>
      </c>
      <c r="S442" s="704">
        <v>0</v>
      </c>
      <c r="W442" s="19"/>
      <c r="X442" s="19"/>
      <c r="Y442" s="19"/>
    </row>
    <row r="443" spans="1:25" s="18" customFormat="1" ht="12" customHeight="1">
      <c r="A443" s="702" t="s">
        <v>768</v>
      </c>
      <c r="B443" s="703"/>
      <c r="C443" s="698"/>
      <c r="D443" s="655"/>
      <c r="E443" s="1424"/>
      <c r="F443" s="1708"/>
      <c r="G443" s="1708"/>
      <c r="H443" s="1748"/>
      <c r="I443" s="1578" t="s">
        <v>1238</v>
      </c>
      <c r="J443" s="1578" t="s">
        <v>48</v>
      </c>
      <c r="K443" s="1733" t="s">
        <v>555</v>
      </c>
      <c r="L443" s="703"/>
      <c r="M443" s="703"/>
      <c r="N443" s="704"/>
      <c r="O443" s="704"/>
      <c r="P443" s="704"/>
      <c r="Q443" s="1534"/>
      <c r="R443" s="704"/>
      <c r="S443" s="704"/>
      <c r="W443" s="19"/>
      <c r="X443" s="19"/>
      <c r="Y443" s="19"/>
    </row>
    <row r="444" spans="1:25" s="18" customFormat="1" ht="54.75" customHeight="1">
      <c r="A444" s="276" t="s">
        <v>769</v>
      </c>
      <c r="B444" s="703"/>
      <c r="C444" s="698"/>
      <c r="D444" s="655"/>
      <c r="E444" s="1424"/>
      <c r="F444" s="1708"/>
      <c r="G444" s="1708"/>
      <c r="H444" s="1748"/>
      <c r="I444" s="1578"/>
      <c r="J444" s="1578"/>
      <c r="K444" s="1733"/>
      <c r="L444" s="703"/>
      <c r="M444" s="703"/>
      <c r="N444" s="704">
        <v>108.4</v>
      </c>
      <c r="O444" s="704">
        <v>108.4</v>
      </c>
      <c r="P444" s="704">
        <v>145</v>
      </c>
      <c r="Q444" s="1534">
        <v>208</v>
      </c>
      <c r="R444" s="704">
        <v>208</v>
      </c>
      <c r="S444" s="704">
        <v>208</v>
      </c>
      <c r="W444" s="19"/>
      <c r="X444" s="19"/>
      <c r="Y444" s="19"/>
    </row>
    <row r="445" spans="1:25" s="707" customFormat="1" ht="24" customHeight="1">
      <c r="A445" s="702" t="s">
        <v>961</v>
      </c>
      <c r="B445" s="705"/>
      <c r="C445" s="698"/>
      <c r="D445" s="655"/>
      <c r="E445" s="1424"/>
      <c r="F445" s="1708"/>
      <c r="G445" s="1708"/>
      <c r="H445" s="1748"/>
      <c r="I445" s="1578" t="s">
        <v>1570</v>
      </c>
      <c r="J445" s="1578" t="s">
        <v>48</v>
      </c>
      <c r="K445" s="1737" t="s">
        <v>555</v>
      </c>
      <c r="L445" s="705"/>
      <c r="M445" s="705"/>
      <c r="N445" s="706"/>
      <c r="O445" s="706"/>
      <c r="P445" s="706"/>
      <c r="Q445" s="1535"/>
      <c r="R445" s="706"/>
      <c r="S445" s="706"/>
      <c r="W445" s="708"/>
      <c r="X445" s="708"/>
      <c r="Y445" s="708"/>
    </row>
    <row r="446" spans="1:25" s="18" customFormat="1" ht="75.75" customHeight="1">
      <c r="A446" s="276" t="s">
        <v>962</v>
      </c>
      <c r="B446" s="703"/>
      <c r="C446" s="698"/>
      <c r="D446" s="655"/>
      <c r="E446" s="1424"/>
      <c r="F446" s="1708"/>
      <c r="G446" s="1708"/>
      <c r="H446" s="1748"/>
      <c r="I446" s="1578"/>
      <c r="J446" s="1578"/>
      <c r="K446" s="1737"/>
      <c r="L446" s="703"/>
      <c r="M446" s="703"/>
      <c r="N446" s="704">
        <v>2.5</v>
      </c>
      <c r="O446" s="704">
        <v>2.5</v>
      </c>
      <c r="P446" s="704">
        <v>3</v>
      </c>
      <c r="Q446" s="1534"/>
      <c r="R446" s="704"/>
      <c r="S446" s="704"/>
      <c r="W446" s="19"/>
      <c r="X446" s="19"/>
      <c r="Y446" s="19"/>
    </row>
    <row r="447" spans="1:25" s="18" customFormat="1" ht="12">
      <c r="A447" s="702" t="s">
        <v>653</v>
      </c>
      <c r="B447" s="703"/>
      <c r="C447" s="698"/>
      <c r="D447" s="655"/>
      <c r="E447" s="1424"/>
      <c r="F447" s="1708"/>
      <c r="G447" s="1708"/>
      <c r="H447" s="1748"/>
      <c r="I447" s="1389"/>
      <c r="J447" s="1389"/>
      <c r="K447" s="1449"/>
      <c r="L447" s="703"/>
      <c r="M447" s="703"/>
      <c r="N447" s="704"/>
      <c r="O447" s="704"/>
      <c r="P447" s="704"/>
      <c r="Q447" s="1534"/>
      <c r="R447" s="704"/>
      <c r="S447" s="704"/>
      <c r="W447" s="19"/>
      <c r="X447" s="19"/>
      <c r="Y447" s="19"/>
    </row>
    <row r="448" spans="1:25" s="18" customFormat="1" ht="64.5" customHeight="1">
      <c r="A448" s="276"/>
      <c r="B448" s="703"/>
      <c r="C448" s="698"/>
      <c r="D448" s="655"/>
      <c r="E448" s="1424"/>
      <c r="F448" s="1708"/>
      <c r="G448" s="1708"/>
      <c r="H448" s="1748"/>
      <c r="I448" s="1451" t="s">
        <v>128</v>
      </c>
      <c r="J448" s="1451" t="s">
        <v>129</v>
      </c>
      <c r="K448" s="1452" t="s">
        <v>42</v>
      </c>
      <c r="L448" s="703"/>
      <c r="M448" s="703"/>
      <c r="N448" s="704">
        <f>129.8+3+4.08</f>
        <v>136.88000000000002</v>
      </c>
      <c r="O448" s="704">
        <f>124.65+3+4.08</f>
        <v>131.73000000000002</v>
      </c>
      <c r="P448" s="704">
        <f>112.5+25+20+7.252</f>
        <v>164.75200000000001</v>
      </c>
      <c r="Q448" s="1534">
        <f>42+20+25+42.5+65.9</f>
        <v>195.4</v>
      </c>
      <c r="R448" s="704">
        <f>42+20+25+42.5+65.9</f>
        <v>195.4</v>
      </c>
      <c r="S448" s="704">
        <f>42+20+25+42.5+65.9</f>
        <v>195.4</v>
      </c>
      <c r="W448" s="19"/>
      <c r="X448" s="19"/>
      <c r="Y448" s="19"/>
    </row>
    <row r="449" spans="1:25" s="18" customFormat="1" ht="60">
      <c r="A449" s="1738" t="s">
        <v>604</v>
      </c>
      <c r="B449" s="1350" t="s">
        <v>605</v>
      </c>
      <c r="C449" s="1345" t="s">
        <v>40</v>
      </c>
      <c r="D449" s="1345" t="s">
        <v>606</v>
      </c>
      <c r="E449" s="1345" t="s">
        <v>1159</v>
      </c>
      <c r="F449" s="1351"/>
      <c r="G449" s="1351"/>
      <c r="H449" s="1351"/>
      <c r="I449" s="1493"/>
      <c r="J449" s="1493"/>
      <c r="K449" s="1352"/>
      <c r="L449" s="1350" t="s">
        <v>27</v>
      </c>
      <c r="M449" s="1350" t="s">
        <v>27</v>
      </c>
      <c r="N449" s="1353">
        <f t="shared" ref="N449:Q449" si="59">SUM(N453)</f>
        <v>0</v>
      </c>
      <c r="O449" s="1353">
        <f t="shared" si="59"/>
        <v>0</v>
      </c>
      <c r="P449" s="1353">
        <f t="shared" si="59"/>
        <v>10</v>
      </c>
      <c r="Q449" s="1353">
        <f t="shared" si="59"/>
        <v>10.4</v>
      </c>
      <c r="R449" s="1353">
        <f t="shared" ref="R449:S449" si="60">SUM(R453)</f>
        <v>0</v>
      </c>
      <c r="S449" s="1353">
        <f t="shared" si="60"/>
        <v>0</v>
      </c>
      <c r="W449" s="19"/>
      <c r="X449" s="19"/>
      <c r="Y449" s="19"/>
    </row>
    <row r="450" spans="1:25" s="18" customFormat="1" ht="78.75" customHeight="1">
      <c r="A450" s="1738"/>
      <c r="B450" s="1346"/>
      <c r="C450" s="1415"/>
      <c r="D450" s="1415"/>
      <c r="E450" s="1415"/>
      <c r="F450" s="1250"/>
      <c r="G450" s="1250"/>
      <c r="H450" s="1250"/>
      <c r="I450" s="1274"/>
      <c r="J450" s="1274"/>
      <c r="K450" s="1347"/>
      <c r="L450" s="1346"/>
      <c r="M450" s="1346"/>
      <c r="N450" s="1348"/>
      <c r="O450" s="1348"/>
      <c r="P450" s="1348"/>
      <c r="Q450" s="1348"/>
      <c r="R450" s="1348"/>
      <c r="S450" s="1348"/>
      <c r="W450" s="19"/>
      <c r="X450" s="19"/>
      <c r="Y450" s="19"/>
    </row>
    <row r="451" spans="1:25" s="18" customFormat="1" ht="12" customHeight="1">
      <c r="A451" s="713" t="s">
        <v>770</v>
      </c>
      <c r="B451" s="95"/>
      <c r="C451" s="1739"/>
      <c r="D451" s="1739"/>
      <c r="E451" s="1739"/>
      <c r="F451" s="714"/>
      <c r="G451" s="714"/>
      <c r="H451" s="714"/>
      <c r="I451" s="1648" t="s">
        <v>1051</v>
      </c>
      <c r="J451" s="1648" t="s">
        <v>48</v>
      </c>
      <c r="K451" s="1743" t="s">
        <v>651</v>
      </c>
      <c r="L451" s="95"/>
      <c r="M451" s="95"/>
      <c r="N451" s="715"/>
      <c r="O451" s="1536"/>
      <c r="P451" s="715"/>
      <c r="Q451" s="715"/>
      <c r="R451" s="715"/>
      <c r="S451" s="715"/>
      <c r="W451" s="19"/>
      <c r="X451" s="19"/>
      <c r="Y451" s="19"/>
    </row>
    <row r="452" spans="1:25" s="18" customFormat="1" ht="50.25" customHeight="1">
      <c r="A452" s="716" t="s">
        <v>771</v>
      </c>
      <c r="B452" s="91"/>
      <c r="C452" s="1740"/>
      <c r="D452" s="1740"/>
      <c r="E452" s="1740"/>
      <c r="F452" s="83"/>
      <c r="G452" s="83"/>
      <c r="H452" s="83"/>
      <c r="I452" s="1742"/>
      <c r="J452" s="1742"/>
      <c r="K452" s="1744"/>
      <c r="L452" s="91"/>
      <c r="M452" s="91"/>
      <c r="N452" s="17"/>
      <c r="O452" s="1501"/>
      <c r="P452" s="17"/>
      <c r="Q452" s="17"/>
      <c r="R452" s="17"/>
      <c r="S452" s="17"/>
      <c r="W452" s="19"/>
      <c r="X452" s="19"/>
      <c r="Y452" s="19"/>
    </row>
    <row r="453" spans="1:25" s="18" customFormat="1" ht="115.5" customHeight="1">
      <c r="A453" s="717" t="s">
        <v>772</v>
      </c>
      <c r="B453" s="718"/>
      <c r="C453" s="1741"/>
      <c r="D453" s="1741"/>
      <c r="E453" s="1741"/>
      <c r="F453" s="88"/>
      <c r="G453" s="88"/>
      <c r="H453" s="88"/>
      <c r="I453" s="711" t="s">
        <v>599</v>
      </c>
      <c r="J453" s="711" t="s">
        <v>48</v>
      </c>
      <c r="K453" s="712" t="s">
        <v>600</v>
      </c>
      <c r="L453" s="718"/>
      <c r="M453" s="718"/>
      <c r="N453" s="89">
        <v>0</v>
      </c>
      <c r="O453" s="512">
        <v>0</v>
      </c>
      <c r="P453" s="89">
        <v>10</v>
      </c>
      <c r="Q453" s="89">
        <v>10.4</v>
      </c>
      <c r="R453" s="89">
        <v>0</v>
      </c>
      <c r="S453" s="89">
        <v>0</v>
      </c>
      <c r="W453" s="19"/>
      <c r="X453" s="19"/>
      <c r="Y453" s="19"/>
    </row>
    <row r="454" spans="1:25" s="18" customFormat="1" ht="110.25" customHeight="1">
      <c r="A454" s="719" t="s">
        <v>534</v>
      </c>
      <c r="B454" s="719">
        <v>1221</v>
      </c>
      <c r="C454" s="671" t="s">
        <v>40</v>
      </c>
      <c r="D454" s="671" t="s">
        <v>1402</v>
      </c>
      <c r="E454" s="671" t="s">
        <v>1159</v>
      </c>
      <c r="F454" s="720"/>
      <c r="G454" s="720"/>
      <c r="H454" s="721"/>
      <c r="I454" s="720"/>
      <c r="J454" s="720"/>
      <c r="K454" s="720"/>
      <c r="L454" s="722"/>
      <c r="M454" s="722"/>
      <c r="N454" s="723">
        <f>SUM(N455:N463)</f>
        <v>9562.1079999999984</v>
      </c>
      <c r="O454" s="1537">
        <f t="shared" ref="O454:Q454" si="61">SUM(O455:O463)</f>
        <v>9553.9749999999985</v>
      </c>
      <c r="P454" s="723">
        <f>SUM(P455:P463)</f>
        <v>8860.5879999999997</v>
      </c>
      <c r="Q454" s="723">
        <f t="shared" si="61"/>
        <v>10765.4</v>
      </c>
      <c r="R454" s="723">
        <f t="shared" ref="R454:S454" si="62">SUM(R455:R463)</f>
        <v>7193.5999999999995</v>
      </c>
      <c r="S454" s="723">
        <f t="shared" si="62"/>
        <v>10519.6</v>
      </c>
      <c r="W454" s="19"/>
      <c r="X454" s="19"/>
      <c r="Y454" s="19"/>
    </row>
    <row r="455" spans="1:25" s="9" customFormat="1" ht="21" customHeight="1">
      <c r="A455" s="1724" t="s">
        <v>773</v>
      </c>
      <c r="B455" s="724"/>
      <c r="C455" s="1732" t="s">
        <v>394</v>
      </c>
      <c r="D455" s="1732" t="s">
        <v>1401</v>
      </c>
      <c r="E455" s="1711" t="s">
        <v>395</v>
      </c>
      <c r="F455" s="1726" t="s">
        <v>396</v>
      </c>
      <c r="G455" s="1729" t="s">
        <v>397</v>
      </c>
      <c r="H455" s="1734" t="s">
        <v>1400</v>
      </c>
      <c r="I455" s="1729" t="s">
        <v>1570</v>
      </c>
      <c r="J455" s="1729" t="s">
        <v>48</v>
      </c>
      <c r="K455" s="1729" t="s">
        <v>555</v>
      </c>
      <c r="L455" s="725" t="s">
        <v>33</v>
      </c>
      <c r="M455" s="725" t="s">
        <v>25</v>
      </c>
      <c r="N455" s="726">
        <v>1648.691</v>
      </c>
      <c r="O455" s="1499">
        <v>1648.691</v>
      </c>
      <c r="P455" s="726">
        <f>1375.2-400</f>
        <v>975.2</v>
      </c>
      <c r="Q455" s="1538">
        <v>975.2</v>
      </c>
      <c r="R455" s="1538">
        <v>975.2</v>
      </c>
      <c r="S455" s="1538">
        <v>975.2</v>
      </c>
      <c r="W455" s="33"/>
      <c r="X455" s="33"/>
      <c r="Y455" s="33"/>
    </row>
    <row r="456" spans="1:25" s="9" customFormat="1" ht="21" customHeight="1">
      <c r="A456" s="1725"/>
      <c r="B456" s="727"/>
      <c r="C456" s="1707"/>
      <c r="D456" s="1707"/>
      <c r="E456" s="1712"/>
      <c r="F456" s="1727"/>
      <c r="G456" s="1730"/>
      <c r="H456" s="1735"/>
      <c r="I456" s="1730"/>
      <c r="J456" s="1730"/>
      <c r="K456" s="1730"/>
      <c r="L456" s="35" t="s">
        <v>33</v>
      </c>
      <c r="M456" s="35" t="s">
        <v>28</v>
      </c>
      <c r="N456" s="84">
        <v>4462.3829999999998</v>
      </c>
      <c r="O456" s="419">
        <v>4462.3829999999998</v>
      </c>
      <c r="P456" s="84">
        <f>3449.7-1273.712</f>
        <v>2175.9879999999998</v>
      </c>
      <c r="Q456" s="1539">
        <v>2176</v>
      </c>
      <c r="R456" s="1539">
        <v>2176</v>
      </c>
      <c r="S456" s="1539">
        <v>2176</v>
      </c>
      <c r="W456" s="33"/>
      <c r="X456" s="33"/>
      <c r="Y456" s="33"/>
    </row>
    <row r="457" spans="1:25" s="9" customFormat="1" ht="58.5" customHeight="1">
      <c r="A457" s="1725"/>
      <c r="B457" s="727"/>
      <c r="C457" s="1707"/>
      <c r="D457" s="1707"/>
      <c r="E457" s="1712"/>
      <c r="F457" s="1727"/>
      <c r="G457" s="1730"/>
      <c r="H457" s="1735"/>
      <c r="I457" s="1730"/>
      <c r="J457" s="1730"/>
      <c r="K457" s="1730"/>
      <c r="L457" s="35" t="s">
        <v>33</v>
      </c>
      <c r="M457" s="35" t="s">
        <v>32</v>
      </c>
      <c r="N457" s="84">
        <v>1098.075</v>
      </c>
      <c r="O457" s="419">
        <v>1098.075</v>
      </c>
      <c r="P457" s="84">
        <f>360</f>
        <v>360</v>
      </c>
      <c r="Q457" s="1539">
        <v>360</v>
      </c>
      <c r="R457" s="1539">
        <v>360</v>
      </c>
      <c r="S457" s="1539">
        <v>360</v>
      </c>
      <c r="W457" s="33"/>
      <c r="X457" s="33"/>
      <c r="Y457" s="33"/>
    </row>
    <row r="458" spans="1:25" s="9" customFormat="1" ht="62.25" customHeight="1">
      <c r="A458" s="36"/>
      <c r="B458" s="727"/>
      <c r="C458" s="496"/>
      <c r="D458" s="496"/>
      <c r="E458" s="728"/>
      <c r="F458" s="1727"/>
      <c r="G458" s="1730"/>
      <c r="H458" s="1735"/>
      <c r="I458" s="1409" t="s">
        <v>1238</v>
      </c>
      <c r="J458" s="1409" t="s">
        <v>48</v>
      </c>
      <c r="K458" s="38" t="s">
        <v>555</v>
      </c>
      <c r="L458" s="35" t="s">
        <v>31</v>
      </c>
      <c r="M458" s="35" t="s">
        <v>25</v>
      </c>
      <c r="N458" s="84">
        <v>1199.0050000000001</v>
      </c>
      <c r="O458" s="419">
        <v>1199.0050000000001</v>
      </c>
      <c r="P458" s="84">
        <v>1124</v>
      </c>
      <c r="Q458" s="1539">
        <v>1265</v>
      </c>
      <c r="R458" s="1539">
        <v>1279</v>
      </c>
      <c r="S458" s="1539">
        <v>1287</v>
      </c>
      <c r="W458" s="33"/>
      <c r="X458" s="33"/>
      <c r="Y458" s="33"/>
    </row>
    <row r="459" spans="1:25" s="9" customFormat="1" ht="34.5" customHeight="1">
      <c r="A459" s="729" t="s">
        <v>774</v>
      </c>
      <c r="B459" s="727"/>
      <c r="C459" s="496"/>
      <c r="D459" s="496"/>
      <c r="E459" s="728"/>
      <c r="F459" s="1727"/>
      <c r="G459" s="1730"/>
      <c r="H459" s="1735"/>
      <c r="I459" s="1730" t="s">
        <v>540</v>
      </c>
      <c r="J459" s="1730" t="s">
        <v>48</v>
      </c>
      <c r="K459" s="1730" t="s">
        <v>49</v>
      </c>
      <c r="L459" s="35" t="s">
        <v>25</v>
      </c>
      <c r="M459" s="35" t="s">
        <v>29</v>
      </c>
      <c r="N459" s="84">
        <v>370.476</v>
      </c>
      <c r="O459" s="419">
        <f>362.243+0.1</f>
        <v>362.34300000000002</v>
      </c>
      <c r="P459" s="84">
        <v>2087.5</v>
      </c>
      <c r="Q459" s="1539">
        <v>3500.8</v>
      </c>
      <c r="R459" s="1539">
        <v>1404</v>
      </c>
      <c r="S459" s="1539">
        <v>3646.8</v>
      </c>
      <c r="W459" s="33"/>
      <c r="X459" s="33"/>
      <c r="Y459" s="33"/>
    </row>
    <row r="460" spans="1:25" s="9" customFormat="1" ht="34.5" customHeight="1">
      <c r="A460" s="36"/>
      <c r="B460" s="727"/>
      <c r="C460" s="496"/>
      <c r="D460" s="496"/>
      <c r="E460" s="728"/>
      <c r="F460" s="1727"/>
      <c r="G460" s="1730"/>
      <c r="H460" s="1735"/>
      <c r="I460" s="1730"/>
      <c r="J460" s="1730"/>
      <c r="K460" s="1730"/>
      <c r="L460" s="35" t="s">
        <v>25</v>
      </c>
      <c r="M460" s="35" t="s">
        <v>26</v>
      </c>
      <c r="N460" s="84">
        <v>222.76599999999999</v>
      </c>
      <c r="O460" s="419">
        <v>222.76599999999999</v>
      </c>
      <c r="P460" s="84">
        <v>1120</v>
      </c>
      <c r="Q460" s="1539">
        <f>160+964</f>
        <v>1124</v>
      </c>
      <c r="R460" s="1539">
        <f>160+180</f>
        <v>340</v>
      </c>
      <c r="S460" s="1539">
        <f>160+886</f>
        <v>1046</v>
      </c>
      <c r="W460" s="33"/>
      <c r="X460" s="33"/>
      <c r="Y460" s="33"/>
    </row>
    <row r="461" spans="1:25" s="9" customFormat="1" ht="34.5" customHeight="1">
      <c r="A461" s="36"/>
      <c r="B461" s="727"/>
      <c r="C461" s="496"/>
      <c r="D461" s="496"/>
      <c r="E461" s="728"/>
      <c r="F461" s="1727"/>
      <c r="G461" s="1730"/>
      <c r="H461" s="1735"/>
      <c r="I461" s="1730"/>
      <c r="J461" s="1730"/>
      <c r="K461" s="1730"/>
      <c r="L461" s="35" t="s">
        <v>25</v>
      </c>
      <c r="M461" s="35" t="s">
        <v>19</v>
      </c>
      <c r="N461" s="84">
        <f>126.607+121.022</f>
        <v>247.62900000000002</v>
      </c>
      <c r="O461" s="419">
        <f>126.607+121.022</f>
        <v>247.62900000000002</v>
      </c>
      <c r="P461" s="84">
        <f>160+130</f>
        <v>290</v>
      </c>
      <c r="Q461" s="1539">
        <f>160+350</f>
        <v>510</v>
      </c>
      <c r="R461" s="1539">
        <f>160</f>
        <v>160</v>
      </c>
      <c r="S461" s="1539">
        <f>160+290</f>
        <v>450</v>
      </c>
      <c r="W461" s="33"/>
      <c r="X461" s="33"/>
      <c r="Y461" s="33"/>
    </row>
    <row r="462" spans="1:25" s="9" customFormat="1" ht="34.5" customHeight="1">
      <c r="A462" s="36"/>
      <c r="B462" s="727"/>
      <c r="C462" s="496"/>
      <c r="D462" s="496"/>
      <c r="E462" s="728"/>
      <c r="F462" s="1727"/>
      <c r="G462" s="1730"/>
      <c r="H462" s="1735"/>
      <c r="I462" s="1730"/>
      <c r="J462" s="1730"/>
      <c r="K462" s="1730"/>
      <c r="L462" s="35" t="s">
        <v>33</v>
      </c>
      <c r="M462" s="35" t="s">
        <v>30</v>
      </c>
      <c r="N462" s="84">
        <v>226.327</v>
      </c>
      <c r="O462" s="419">
        <v>226.327</v>
      </c>
      <c r="P462" s="84">
        <v>200</v>
      </c>
      <c r="Q462" s="1539">
        <v>200</v>
      </c>
      <c r="R462" s="1539">
        <v>200</v>
      </c>
      <c r="S462" s="1539">
        <v>200</v>
      </c>
      <c r="W462" s="33"/>
      <c r="X462" s="33"/>
      <c r="Y462" s="33"/>
    </row>
    <row r="463" spans="1:25" s="9" customFormat="1" ht="26.25" customHeight="1">
      <c r="A463" s="730"/>
      <c r="B463" s="731"/>
      <c r="C463" s="71"/>
      <c r="D463" s="71"/>
      <c r="E463" s="732"/>
      <c r="F463" s="1728"/>
      <c r="G463" s="1731"/>
      <c r="H463" s="1736"/>
      <c r="I463" s="1731"/>
      <c r="J463" s="1731"/>
      <c r="K463" s="1731"/>
      <c r="L463" s="733" t="s">
        <v>31</v>
      </c>
      <c r="M463" s="733" t="s">
        <v>29</v>
      </c>
      <c r="N463" s="734">
        <v>86.756</v>
      </c>
      <c r="O463" s="512">
        <v>86.756</v>
      </c>
      <c r="P463" s="734">
        <v>527.9</v>
      </c>
      <c r="Q463" s="1540">
        <v>654.4</v>
      </c>
      <c r="R463" s="1540">
        <v>299.39999999999998</v>
      </c>
      <c r="S463" s="1540">
        <v>378.6</v>
      </c>
      <c r="W463" s="33"/>
      <c r="X463" s="33"/>
      <c r="Y463" s="33"/>
    </row>
    <row r="464" spans="1:25" s="9" customFormat="1" ht="204">
      <c r="A464" s="74" t="s">
        <v>538</v>
      </c>
      <c r="B464" s="75">
        <v>1224</v>
      </c>
      <c r="C464" s="655" t="s">
        <v>414</v>
      </c>
      <c r="D464" s="655" t="s">
        <v>48</v>
      </c>
      <c r="E464" s="181" t="s">
        <v>166</v>
      </c>
      <c r="F464" s="735"/>
      <c r="G464" s="735"/>
      <c r="H464" s="736"/>
      <c r="I464" s="735"/>
      <c r="J464" s="735"/>
      <c r="K464" s="735"/>
      <c r="L464" s="737" t="s">
        <v>33</v>
      </c>
      <c r="M464" s="737" t="s">
        <v>28</v>
      </c>
      <c r="N464" s="77">
        <f>SUM(N467:N468)</f>
        <v>25177.507000000001</v>
      </c>
      <c r="O464" s="1502">
        <f t="shared" ref="O464:S464" si="63">SUM(O467:O468)</f>
        <v>25177.039000000001</v>
      </c>
      <c r="P464" s="77">
        <f t="shared" si="63"/>
        <v>24772</v>
      </c>
      <c r="Q464" s="77">
        <f t="shared" si="63"/>
        <v>0</v>
      </c>
      <c r="R464" s="77">
        <f t="shared" si="63"/>
        <v>0</v>
      </c>
      <c r="S464" s="77">
        <f t="shared" si="63"/>
        <v>0</v>
      </c>
      <c r="W464" s="33"/>
      <c r="X464" s="33"/>
      <c r="Y464" s="33"/>
    </row>
    <row r="465" spans="1:25" s="9" customFormat="1" ht="39" customHeight="1">
      <c r="A465" s="738" t="s">
        <v>775</v>
      </c>
      <c r="B465" s="739"/>
      <c r="C465" s="740"/>
      <c r="D465" s="740"/>
      <c r="E465" s="741"/>
      <c r="F465" s="740"/>
      <c r="G465" s="740"/>
      <c r="H465" s="741"/>
      <c r="I465" s="1718" t="s">
        <v>1570</v>
      </c>
      <c r="J465" s="1718" t="s">
        <v>48</v>
      </c>
      <c r="K465" s="1718" t="s">
        <v>555</v>
      </c>
      <c r="L465" s="742"/>
      <c r="M465" s="742"/>
      <c r="N465" s="743"/>
      <c r="O465" s="1509"/>
      <c r="P465" s="743"/>
      <c r="Q465" s="743"/>
      <c r="R465" s="743"/>
      <c r="S465" s="743"/>
      <c r="W465" s="33"/>
      <c r="X465" s="33"/>
      <c r="Y465" s="33"/>
    </row>
    <row r="466" spans="1:25" s="9" customFormat="1" ht="60" customHeight="1">
      <c r="A466" s="125" t="s">
        <v>776</v>
      </c>
      <c r="B466" s="16"/>
      <c r="C466" s="131"/>
      <c r="D466" s="131"/>
      <c r="E466" s="557"/>
      <c r="F466" s="131"/>
      <c r="G466" s="131"/>
      <c r="H466" s="557"/>
      <c r="I466" s="1719"/>
      <c r="J466" s="1719"/>
      <c r="K466" s="1719"/>
      <c r="L466" s="15"/>
      <c r="M466" s="15"/>
      <c r="N466" s="94"/>
      <c r="O466" s="359"/>
      <c r="P466" s="94"/>
      <c r="Q466" s="94"/>
      <c r="R466" s="94"/>
      <c r="S466" s="94"/>
      <c r="W466" s="33"/>
      <c r="X466" s="33"/>
      <c r="Y466" s="33"/>
    </row>
    <row r="467" spans="1:25" s="9" customFormat="1" ht="108.75" customHeight="1">
      <c r="A467" s="128" t="s">
        <v>777</v>
      </c>
      <c r="B467" s="744" t="s">
        <v>484</v>
      </c>
      <c r="C467" s="1617"/>
      <c r="D467" s="1617"/>
      <c r="E467" s="1619"/>
      <c r="F467" s="1617" t="s">
        <v>557</v>
      </c>
      <c r="G467" s="1617" t="s">
        <v>1239</v>
      </c>
      <c r="H467" s="1619" t="s">
        <v>1070</v>
      </c>
      <c r="I467" s="1617" t="s">
        <v>1686</v>
      </c>
      <c r="J467" s="1617" t="s">
        <v>48</v>
      </c>
      <c r="K467" s="1617" t="s">
        <v>614</v>
      </c>
      <c r="L467" s="7"/>
      <c r="M467" s="7"/>
      <c r="N467" s="127">
        <v>21904.43</v>
      </c>
      <c r="O467" s="134">
        <v>21904.024000000001</v>
      </c>
      <c r="P467" s="127">
        <v>22047.08</v>
      </c>
      <c r="Q467" s="127"/>
      <c r="R467" s="127"/>
      <c r="S467" s="127"/>
      <c r="W467" s="33"/>
      <c r="X467" s="33"/>
      <c r="Y467" s="33"/>
    </row>
    <row r="468" spans="1:25" s="9" customFormat="1" ht="114.75" customHeight="1">
      <c r="A468" s="128"/>
      <c r="B468" s="7" t="s">
        <v>485</v>
      </c>
      <c r="C468" s="1596"/>
      <c r="D468" s="1596"/>
      <c r="E468" s="1620"/>
      <c r="F468" s="1596"/>
      <c r="G468" s="1596"/>
      <c r="H468" s="1620"/>
      <c r="I468" s="1596"/>
      <c r="J468" s="1596"/>
      <c r="K468" s="1596"/>
      <c r="L468" s="7"/>
      <c r="M468" s="7"/>
      <c r="N468" s="127">
        <v>3273.0770000000002</v>
      </c>
      <c r="O468" s="134">
        <v>3273.0149999999999</v>
      </c>
      <c r="P468" s="127">
        <v>2724.92</v>
      </c>
      <c r="Q468" s="127"/>
      <c r="R468" s="127"/>
      <c r="S468" s="127"/>
      <c r="W468" s="33"/>
      <c r="X468" s="33"/>
      <c r="Y468" s="33"/>
    </row>
    <row r="469" spans="1:25" s="18" customFormat="1" ht="73.5" customHeight="1">
      <c r="A469" s="538" t="s">
        <v>906</v>
      </c>
      <c r="B469" s="559">
        <v>1226</v>
      </c>
      <c r="C469" s="745" t="s">
        <v>40</v>
      </c>
      <c r="D469" s="745" t="s">
        <v>1241</v>
      </c>
      <c r="E469" s="746" t="s">
        <v>1159</v>
      </c>
      <c r="F469" s="538"/>
      <c r="G469" s="538"/>
      <c r="H469" s="538"/>
      <c r="I469" s="747"/>
      <c r="J469" s="747"/>
      <c r="K469" s="748"/>
      <c r="L469" s="559" t="s">
        <v>25</v>
      </c>
      <c r="M469" s="559" t="s">
        <v>19</v>
      </c>
      <c r="N469" s="561">
        <f>SUM(N470:N473)</f>
        <v>910</v>
      </c>
      <c r="O469" s="1506">
        <f t="shared" ref="O469:S469" si="64">SUM(O470:O473)</f>
        <v>910</v>
      </c>
      <c r="P469" s="561">
        <f t="shared" si="64"/>
        <v>1310.0149999999999</v>
      </c>
      <c r="Q469" s="561">
        <f t="shared" si="64"/>
        <v>0</v>
      </c>
      <c r="R469" s="561">
        <f t="shared" si="64"/>
        <v>0</v>
      </c>
      <c r="S469" s="561">
        <f t="shared" si="64"/>
        <v>0</v>
      </c>
      <c r="W469" s="19"/>
      <c r="X469" s="19"/>
      <c r="Y469" s="19"/>
    </row>
    <row r="470" spans="1:25" s="18" customFormat="1" ht="12" customHeight="1">
      <c r="A470" s="738" t="s">
        <v>907</v>
      </c>
      <c r="B470" s="739"/>
      <c r="C470" s="1595"/>
      <c r="D470" s="1595"/>
      <c r="E470" s="1717"/>
      <c r="F470" s="749"/>
      <c r="G470" s="749"/>
      <c r="H470" s="749"/>
      <c r="I470" s="1595" t="s">
        <v>1600</v>
      </c>
      <c r="J470" s="1718" t="s">
        <v>640</v>
      </c>
      <c r="K470" s="1720" t="s">
        <v>556</v>
      </c>
      <c r="L470" s="739"/>
      <c r="M470" s="739"/>
      <c r="N470" s="750">
        <v>910</v>
      </c>
      <c r="O470" s="1507">
        <v>910</v>
      </c>
      <c r="P470" s="750">
        <f>910+400.015</f>
        <v>1310.0149999999999</v>
      </c>
      <c r="Q470" s="750">
        <v>0</v>
      </c>
      <c r="R470" s="750">
        <v>0</v>
      </c>
      <c r="S470" s="750">
        <v>0</v>
      </c>
      <c r="W470" s="19"/>
      <c r="X470" s="19"/>
      <c r="Y470" s="19"/>
    </row>
    <row r="471" spans="1:25" s="18" customFormat="1" ht="24">
      <c r="A471" s="125" t="s">
        <v>908</v>
      </c>
      <c r="B471" s="16"/>
      <c r="C471" s="1617"/>
      <c r="D471" s="1617"/>
      <c r="E471" s="1619"/>
      <c r="F471" s="14"/>
      <c r="G471" s="14"/>
      <c r="H471" s="14"/>
      <c r="I471" s="1617"/>
      <c r="J471" s="1719"/>
      <c r="K471" s="1721"/>
      <c r="L471" s="16"/>
      <c r="M471" s="16"/>
      <c r="N471" s="127"/>
      <c r="O471" s="134"/>
      <c r="P471" s="127"/>
      <c r="Q471" s="127"/>
      <c r="R471" s="127"/>
      <c r="S471" s="127"/>
      <c r="W471" s="19"/>
      <c r="X471" s="19"/>
      <c r="Y471" s="19"/>
    </row>
    <row r="472" spans="1:25" s="18" customFormat="1" ht="37.5" customHeight="1">
      <c r="A472" s="1681" t="s">
        <v>909</v>
      </c>
      <c r="B472" s="16"/>
      <c r="C472" s="1617"/>
      <c r="D472" s="1617"/>
      <c r="E472" s="1619"/>
      <c r="F472" s="14"/>
      <c r="G472" s="14"/>
      <c r="H472" s="14"/>
      <c r="I472" s="1617"/>
      <c r="J472" s="1719"/>
      <c r="K472" s="1721"/>
      <c r="L472" s="16"/>
      <c r="M472" s="16"/>
      <c r="N472" s="127"/>
      <c r="O472" s="134"/>
      <c r="P472" s="127"/>
      <c r="Q472" s="127"/>
      <c r="R472" s="127"/>
      <c r="S472" s="127"/>
      <c r="W472" s="19"/>
      <c r="X472" s="19"/>
      <c r="Y472" s="19"/>
    </row>
    <row r="473" spans="1:25" s="18" customFormat="1" ht="75.75" customHeight="1">
      <c r="A473" s="1688"/>
      <c r="B473" s="751"/>
      <c r="C473" s="1596"/>
      <c r="D473" s="1596"/>
      <c r="E473" s="1620"/>
      <c r="F473" s="752"/>
      <c r="G473" s="752"/>
      <c r="H473" s="752"/>
      <c r="I473" s="753" t="s">
        <v>576</v>
      </c>
      <c r="J473" s="753" t="s">
        <v>48</v>
      </c>
      <c r="K473" s="754" t="s">
        <v>42</v>
      </c>
      <c r="L473" s="751"/>
      <c r="M473" s="751"/>
      <c r="N473" s="755"/>
      <c r="O473" s="1541"/>
      <c r="P473" s="755"/>
      <c r="Q473" s="755"/>
      <c r="R473" s="755"/>
      <c r="S473" s="755"/>
      <c r="W473" s="19"/>
      <c r="X473" s="19"/>
      <c r="Y473" s="19"/>
    </row>
    <row r="474" spans="1:25" s="18" customFormat="1" ht="64.5" customHeight="1">
      <c r="A474" s="452" t="s">
        <v>910</v>
      </c>
      <c r="B474" s="528">
        <v>1227</v>
      </c>
      <c r="C474" s="453" t="s">
        <v>40</v>
      </c>
      <c r="D474" s="453" t="s">
        <v>1403</v>
      </c>
      <c r="E474" s="453" t="s">
        <v>1159</v>
      </c>
      <c r="F474" s="453"/>
      <c r="G474" s="453"/>
      <c r="H474" s="453"/>
      <c r="I474" s="453"/>
      <c r="J474" s="453"/>
      <c r="K474" s="453"/>
      <c r="L474" s="528" t="s">
        <v>25</v>
      </c>
      <c r="M474" s="528" t="s">
        <v>19</v>
      </c>
      <c r="N474" s="193">
        <f>SUM(N476:N478)</f>
        <v>86.804999999999993</v>
      </c>
      <c r="O474" s="1506">
        <f t="shared" ref="O474:Q474" si="65">SUM(O476:O478)</f>
        <v>86.804999999999993</v>
      </c>
      <c r="P474" s="193">
        <f t="shared" si="65"/>
        <v>184.97300000000001</v>
      </c>
      <c r="Q474" s="193">
        <f t="shared" si="65"/>
        <v>236</v>
      </c>
      <c r="R474" s="193">
        <f t="shared" ref="R474:S474" si="66">SUM(R476:R478)</f>
        <v>126.7</v>
      </c>
      <c r="S474" s="193">
        <f t="shared" si="66"/>
        <v>132.5</v>
      </c>
      <c r="W474" s="19"/>
      <c r="X474" s="19"/>
      <c r="Y474" s="19"/>
    </row>
    <row r="475" spans="1:25" s="18" customFormat="1" ht="12">
      <c r="A475" s="452" t="s">
        <v>66</v>
      </c>
      <c r="B475" s="528"/>
      <c r="C475" s="453"/>
      <c r="D475" s="453"/>
      <c r="E475" s="453"/>
      <c r="F475" s="453"/>
      <c r="G475" s="453"/>
      <c r="H475" s="453"/>
      <c r="I475" s="453"/>
      <c r="J475" s="453"/>
      <c r="K475" s="453"/>
      <c r="L475" s="57"/>
      <c r="M475" s="57"/>
      <c r="N475" s="605"/>
      <c r="O475" s="1527"/>
      <c r="P475" s="605"/>
      <c r="Q475" s="605"/>
      <c r="R475" s="605"/>
      <c r="S475" s="605"/>
      <c r="W475" s="19"/>
      <c r="X475" s="19"/>
      <c r="Y475" s="19"/>
    </row>
    <row r="476" spans="1:25" s="18" customFormat="1" ht="48.75" customHeight="1">
      <c r="A476" s="457" t="s">
        <v>911</v>
      </c>
      <c r="B476" s="57"/>
      <c r="C476" s="661"/>
      <c r="D476" s="661"/>
      <c r="E476" s="661"/>
      <c r="F476" s="661"/>
      <c r="G476" s="661"/>
      <c r="H476" s="661"/>
      <c r="I476" s="661" t="s">
        <v>1240</v>
      </c>
      <c r="J476" s="661" t="s">
        <v>142</v>
      </c>
      <c r="K476" s="661" t="s">
        <v>81</v>
      </c>
      <c r="L476" s="57"/>
      <c r="M476" s="57"/>
      <c r="N476" s="756">
        <f>86.205+0.6</f>
        <v>86.804999999999993</v>
      </c>
      <c r="O476" s="1507">
        <f>86.205+0.6</f>
        <v>86.804999999999993</v>
      </c>
      <c r="P476" s="756">
        <v>169.97300000000001</v>
      </c>
      <c r="Q476" s="756">
        <f>2.6+218.4</f>
        <v>221</v>
      </c>
      <c r="R476" s="756">
        <f>2.5+109.2</f>
        <v>111.7</v>
      </c>
      <c r="S476" s="756">
        <f>2.5+115</f>
        <v>117.5</v>
      </c>
      <c r="W476" s="19"/>
      <c r="X476" s="19"/>
      <c r="Y476" s="19"/>
    </row>
    <row r="477" spans="1:25" s="18" customFormat="1" ht="53.25" hidden="1" customHeight="1">
      <c r="A477" s="10"/>
      <c r="B477" s="347"/>
      <c r="C477" s="458"/>
      <c r="D477" s="458"/>
      <c r="E477" s="458"/>
      <c r="F477" s="458"/>
      <c r="G477" s="458"/>
      <c r="H477" s="458"/>
      <c r="I477" s="458" t="s">
        <v>143</v>
      </c>
      <c r="J477" s="458" t="s">
        <v>144</v>
      </c>
      <c r="K477" s="458" t="s">
        <v>145</v>
      </c>
      <c r="L477" s="347"/>
      <c r="M477" s="347"/>
      <c r="N477" s="314">
        <v>0</v>
      </c>
      <c r="O477" s="519"/>
      <c r="P477" s="314">
        <v>0</v>
      </c>
      <c r="Q477" s="314"/>
      <c r="R477" s="314"/>
      <c r="S477" s="314"/>
      <c r="W477" s="19"/>
      <c r="X477" s="19"/>
      <c r="Y477" s="19"/>
    </row>
    <row r="478" spans="1:25" s="18" customFormat="1" ht="51.75" customHeight="1">
      <c r="A478" s="10"/>
      <c r="B478" s="347"/>
      <c r="C478" s="458"/>
      <c r="D478" s="458"/>
      <c r="E478" s="458"/>
      <c r="F478" s="757"/>
      <c r="G478" s="758"/>
      <c r="H478" s="758"/>
      <c r="I478" s="458" t="s">
        <v>547</v>
      </c>
      <c r="J478" s="458" t="s">
        <v>146</v>
      </c>
      <c r="K478" s="458" t="s">
        <v>147</v>
      </c>
      <c r="L478" s="347"/>
      <c r="M478" s="347"/>
      <c r="N478" s="759">
        <v>0</v>
      </c>
      <c r="O478" s="134">
        <v>0</v>
      </c>
      <c r="P478" s="759">
        <v>15</v>
      </c>
      <c r="Q478" s="759">
        <v>15</v>
      </c>
      <c r="R478" s="759">
        <v>15</v>
      </c>
      <c r="S478" s="759">
        <v>15</v>
      </c>
      <c r="W478" s="19"/>
      <c r="X478" s="19"/>
      <c r="Y478" s="19"/>
    </row>
    <row r="479" spans="1:25" s="18" customFormat="1" ht="61.5" customHeight="1">
      <c r="A479" s="1722" t="s">
        <v>912</v>
      </c>
      <c r="B479" s="57">
        <v>1228</v>
      </c>
      <c r="C479" s="661" t="s">
        <v>40</v>
      </c>
      <c r="D479" s="1467" t="s">
        <v>1404</v>
      </c>
      <c r="E479" s="760" t="s">
        <v>1159</v>
      </c>
      <c r="F479" s="761" t="s">
        <v>24</v>
      </c>
      <c r="G479" s="56" t="s">
        <v>24</v>
      </c>
      <c r="H479" s="56" t="s">
        <v>24</v>
      </c>
      <c r="I479" s="762" t="s">
        <v>953</v>
      </c>
      <c r="J479" s="762" t="s">
        <v>48</v>
      </c>
      <c r="K479" s="762" t="s">
        <v>130</v>
      </c>
      <c r="L479" s="57" t="s">
        <v>25</v>
      </c>
      <c r="M479" s="57" t="s">
        <v>17</v>
      </c>
      <c r="N479" s="328">
        <v>400</v>
      </c>
      <c r="O479" s="1509">
        <v>0</v>
      </c>
      <c r="P479" s="328">
        <v>1827</v>
      </c>
      <c r="Q479" s="328">
        <v>3428.3</v>
      </c>
      <c r="R479" s="328">
        <v>0</v>
      </c>
      <c r="S479" s="328">
        <v>0</v>
      </c>
      <c r="W479" s="19"/>
      <c r="X479" s="19"/>
      <c r="Y479" s="19"/>
    </row>
    <row r="480" spans="1:25" s="18" customFormat="1" ht="80.25" customHeight="1">
      <c r="A480" s="1723"/>
      <c r="B480" s="763"/>
      <c r="C480" s="764"/>
      <c r="D480" s="1468"/>
      <c r="E480" s="765"/>
      <c r="F480" s="766"/>
      <c r="G480" s="594"/>
      <c r="H480" s="594"/>
      <c r="I480" s="767" t="s">
        <v>548</v>
      </c>
      <c r="J480" s="767" t="s">
        <v>48</v>
      </c>
      <c r="K480" s="768" t="s">
        <v>130</v>
      </c>
      <c r="L480" s="763"/>
      <c r="M480" s="763"/>
      <c r="N480" s="769"/>
      <c r="O480" s="1508"/>
      <c r="P480" s="769"/>
      <c r="Q480" s="769"/>
      <c r="R480" s="769"/>
      <c r="S480" s="769"/>
      <c r="W480" s="19"/>
      <c r="X480" s="19"/>
      <c r="Y480" s="19"/>
    </row>
    <row r="481" spans="1:25" s="18" customFormat="1" ht="84" customHeight="1">
      <c r="A481" s="56" t="s">
        <v>535</v>
      </c>
      <c r="B481" s="57">
        <v>1300</v>
      </c>
      <c r="C481" s="57" t="s">
        <v>22</v>
      </c>
      <c r="D481" s="57" t="s">
        <v>22</v>
      </c>
      <c r="E481" s="770" t="s">
        <v>22</v>
      </c>
      <c r="F481" s="57" t="s">
        <v>22</v>
      </c>
      <c r="G481" s="57" t="s">
        <v>22</v>
      </c>
      <c r="H481" s="57" t="s">
        <v>22</v>
      </c>
      <c r="I481" s="57" t="s">
        <v>22</v>
      </c>
      <c r="J481" s="57" t="s">
        <v>22</v>
      </c>
      <c r="K481" s="57" t="s">
        <v>22</v>
      </c>
      <c r="L481" s="57"/>
      <c r="M481" s="57"/>
      <c r="N481" s="328">
        <f t="shared" ref="N481:S481" si="67">N482+N492+N506</f>
        <v>3603.1730000000002</v>
      </c>
      <c r="O481" s="1509">
        <f t="shared" si="67"/>
        <v>3596.1730000000002</v>
      </c>
      <c r="P481" s="328">
        <f t="shared" si="67"/>
        <v>4440.1840000000002</v>
      </c>
      <c r="Q481" s="328">
        <f t="shared" si="67"/>
        <v>2421.3000000000002</v>
      </c>
      <c r="R481" s="328">
        <f t="shared" si="67"/>
        <v>3723.6</v>
      </c>
      <c r="S481" s="328">
        <f t="shared" si="67"/>
        <v>3377.7999999999997</v>
      </c>
      <c r="W481" s="19"/>
      <c r="X481" s="19"/>
      <c r="Y481" s="19"/>
    </row>
    <row r="482" spans="1:25" s="18" customFormat="1" ht="58.5" customHeight="1">
      <c r="A482" s="56" t="s">
        <v>536</v>
      </c>
      <c r="B482" s="57">
        <v>1301</v>
      </c>
      <c r="C482" s="57" t="s">
        <v>22</v>
      </c>
      <c r="D482" s="57" t="s">
        <v>22</v>
      </c>
      <c r="E482" s="57" t="s">
        <v>22</v>
      </c>
      <c r="F482" s="57" t="s">
        <v>22</v>
      </c>
      <c r="G482" s="57" t="s">
        <v>22</v>
      </c>
      <c r="H482" s="57" t="s">
        <v>22</v>
      </c>
      <c r="I482" s="57" t="s">
        <v>22</v>
      </c>
      <c r="J482" s="57" t="s">
        <v>22</v>
      </c>
      <c r="K482" s="57" t="s">
        <v>22</v>
      </c>
      <c r="L482" s="57"/>
      <c r="M482" s="57"/>
      <c r="N482" s="328">
        <f t="shared" ref="N482:S482" si="68">N483</f>
        <v>495</v>
      </c>
      <c r="O482" s="1509">
        <f t="shared" si="68"/>
        <v>495</v>
      </c>
      <c r="P482" s="328">
        <f t="shared" si="68"/>
        <v>1556.3</v>
      </c>
      <c r="Q482" s="328">
        <f t="shared" si="68"/>
        <v>231.7</v>
      </c>
      <c r="R482" s="328">
        <f t="shared" si="68"/>
        <v>231.7</v>
      </c>
      <c r="S482" s="328">
        <f t="shared" si="68"/>
        <v>231.7</v>
      </c>
      <c r="W482" s="19"/>
      <c r="X482" s="19"/>
      <c r="Y482" s="19"/>
    </row>
    <row r="483" spans="1:25" s="18" customFormat="1" ht="63" customHeight="1">
      <c r="A483" s="452" t="s">
        <v>36</v>
      </c>
      <c r="B483" s="528">
        <v>1307</v>
      </c>
      <c r="C483" s="1291" t="s">
        <v>40</v>
      </c>
      <c r="D483" s="1219" t="s">
        <v>1242</v>
      </c>
      <c r="E483" s="1219" t="s">
        <v>1159</v>
      </c>
      <c r="F483" s="1221" t="s">
        <v>24</v>
      </c>
      <c r="G483" s="1221" t="s">
        <v>24</v>
      </c>
      <c r="H483" s="1221" t="s">
        <v>24</v>
      </c>
      <c r="I483" s="452" t="s">
        <v>24</v>
      </c>
      <c r="J483" s="452" t="s">
        <v>24</v>
      </c>
      <c r="K483" s="452" t="s">
        <v>24</v>
      </c>
      <c r="L483" s="528" t="s">
        <v>29</v>
      </c>
      <c r="M483" s="528" t="s">
        <v>18</v>
      </c>
      <c r="N483" s="1506">
        <f t="shared" ref="N483:S483" si="69">SUM(N484:N491)</f>
        <v>495</v>
      </c>
      <c r="O483" s="1506">
        <f t="shared" si="69"/>
        <v>495</v>
      </c>
      <c r="P483" s="1506">
        <f t="shared" si="69"/>
        <v>1556.3</v>
      </c>
      <c r="Q483" s="1506">
        <f t="shared" si="69"/>
        <v>231.7</v>
      </c>
      <c r="R483" s="1506">
        <f t="shared" si="69"/>
        <v>231.7</v>
      </c>
      <c r="S483" s="1506">
        <f t="shared" si="69"/>
        <v>231.7</v>
      </c>
      <c r="W483" s="19"/>
      <c r="X483" s="19"/>
      <c r="Y483" s="19"/>
    </row>
    <row r="484" spans="1:25" s="9" customFormat="1" ht="24" customHeight="1">
      <c r="A484" s="772" t="s">
        <v>695</v>
      </c>
      <c r="B484" s="1218"/>
      <c r="C484" s="1707"/>
      <c r="D484" s="1709"/>
      <c r="E484" s="1711"/>
      <c r="F484" s="1590" t="s">
        <v>1243</v>
      </c>
      <c r="G484" s="1590" t="s">
        <v>1244</v>
      </c>
      <c r="H484" s="1590" t="s">
        <v>1405</v>
      </c>
      <c r="I484" s="1705" t="s">
        <v>1687</v>
      </c>
      <c r="J484" s="306" t="s">
        <v>48</v>
      </c>
      <c r="K484" s="306" t="s">
        <v>555</v>
      </c>
      <c r="L484" s="11"/>
      <c r="M484" s="11"/>
      <c r="N484" s="759">
        <v>31.943000000000001</v>
      </c>
      <c r="O484" s="521">
        <v>31.943000000000001</v>
      </c>
      <c r="P484" s="773">
        <f>118.3+60+76.8-98-60</f>
        <v>97.100000000000023</v>
      </c>
      <c r="Q484" s="750">
        <v>231.7</v>
      </c>
      <c r="R484" s="750">
        <v>231.7</v>
      </c>
      <c r="S484" s="750">
        <v>231.7</v>
      </c>
      <c r="W484" s="33"/>
      <c r="X484" s="33"/>
      <c r="Y484" s="33"/>
    </row>
    <row r="485" spans="1:25" s="9" customFormat="1" ht="49.5" customHeight="1">
      <c r="A485" s="125" t="s">
        <v>778</v>
      </c>
      <c r="B485" s="1218"/>
      <c r="C485" s="1707"/>
      <c r="D485" s="1710"/>
      <c r="E485" s="1712"/>
      <c r="F485" s="1635"/>
      <c r="G485" s="1635"/>
      <c r="H485" s="1635"/>
      <c r="I485" s="1706"/>
      <c r="J485" s="306"/>
      <c r="K485" s="306"/>
      <c r="L485" s="204"/>
      <c r="M485" s="204"/>
      <c r="N485" s="773"/>
      <c r="O485" s="521"/>
      <c r="P485" s="773"/>
      <c r="Q485" s="127"/>
      <c r="R485" s="127"/>
      <c r="S485" s="127"/>
      <c r="W485" s="33"/>
      <c r="X485" s="33"/>
      <c r="Y485" s="33"/>
    </row>
    <row r="486" spans="1:25" s="9" customFormat="1" ht="63.75" customHeight="1">
      <c r="A486" s="12" t="s">
        <v>779</v>
      </c>
      <c r="B486" s="1218"/>
      <c r="C486" s="1707"/>
      <c r="D486" s="1710"/>
      <c r="E486" s="1712"/>
      <c r="F486" s="1635"/>
      <c r="G486" s="1635"/>
      <c r="H486" s="1635"/>
      <c r="I486" s="1458" t="s">
        <v>312</v>
      </c>
      <c r="J486" s="774" t="s">
        <v>48</v>
      </c>
      <c r="K486" s="774" t="s">
        <v>297</v>
      </c>
      <c r="L486" s="11"/>
      <c r="M486" s="11"/>
      <c r="N486" s="314"/>
      <c r="O486" s="521"/>
      <c r="P486" s="773"/>
      <c r="Q486" s="127"/>
      <c r="R486" s="127"/>
      <c r="S486" s="127"/>
      <c r="W486" s="33"/>
      <c r="X486" s="33"/>
      <c r="Y486" s="33"/>
    </row>
    <row r="487" spans="1:25" s="9" customFormat="1" ht="49.5" customHeight="1">
      <c r="A487" s="1278"/>
      <c r="B487" s="1218"/>
      <c r="C487" s="1708"/>
      <c r="D487" s="1710"/>
      <c r="E487" s="1713"/>
      <c r="F487" s="1704"/>
      <c r="G487" s="1704"/>
      <c r="H487" s="1704"/>
      <c r="I487" s="1459" t="s">
        <v>1622</v>
      </c>
      <c r="J487" s="1430" t="s">
        <v>48</v>
      </c>
      <c r="K487" s="1392" t="s">
        <v>1623</v>
      </c>
      <c r="L487" s="1393"/>
      <c r="M487" s="1393"/>
      <c r="N487" s="1292"/>
      <c r="O487" s="1292"/>
      <c r="P487" s="1292"/>
      <c r="Q487" s="1293"/>
      <c r="R487" s="1293"/>
      <c r="S487" s="1293"/>
      <c r="W487" s="33"/>
      <c r="X487" s="33"/>
      <c r="Y487" s="33"/>
    </row>
    <row r="488" spans="1:25" s="9" customFormat="1" ht="45" customHeight="1">
      <c r="A488" s="12"/>
      <c r="B488" s="1218" t="s">
        <v>1086</v>
      </c>
      <c r="C488" s="1707"/>
      <c r="D488" s="1710"/>
      <c r="E488" s="1712"/>
      <c r="F488" s="1635"/>
      <c r="G488" s="1635"/>
      <c r="H488" s="1635"/>
      <c r="I488" s="1715" t="s">
        <v>1588</v>
      </c>
      <c r="J488" s="1430" t="s">
        <v>48</v>
      </c>
      <c r="K488" s="1397" t="s">
        <v>1547</v>
      </c>
      <c r="L488" s="11"/>
      <c r="M488" s="11"/>
      <c r="N488" s="773">
        <v>167</v>
      </c>
      <c r="O488" s="521">
        <v>167</v>
      </c>
      <c r="P488" s="127">
        <v>364.8</v>
      </c>
      <c r="Q488" s="127"/>
      <c r="R488" s="127"/>
      <c r="S488" s="127"/>
      <c r="W488" s="33"/>
      <c r="X488" s="33"/>
      <c r="Y488" s="33"/>
    </row>
    <row r="489" spans="1:25" s="9" customFormat="1" ht="42" customHeight="1">
      <c r="A489" s="126"/>
      <c r="B489" s="1218" t="s">
        <v>1087</v>
      </c>
      <c r="C489" s="1707"/>
      <c r="D489" s="1710"/>
      <c r="E489" s="1712"/>
      <c r="F489" s="1635"/>
      <c r="G489" s="1635"/>
      <c r="H489" s="1635"/>
      <c r="I489" s="1715"/>
      <c r="J489" s="1430"/>
      <c r="K489" s="1396"/>
      <c r="L489" s="1387"/>
      <c r="M489" s="1387"/>
      <c r="N489" s="521">
        <v>167</v>
      </c>
      <c r="O489" s="521">
        <v>167</v>
      </c>
      <c r="P489" s="134">
        <v>364.8</v>
      </c>
      <c r="Q489" s="134"/>
      <c r="R489" s="134"/>
      <c r="S489" s="134"/>
      <c r="W489" s="33"/>
      <c r="X489" s="33"/>
      <c r="Y489" s="33"/>
    </row>
    <row r="490" spans="1:25" s="9" customFormat="1" ht="38.25" customHeight="1">
      <c r="A490" s="128"/>
      <c r="B490" s="1218" t="s">
        <v>638</v>
      </c>
      <c r="C490" s="1707"/>
      <c r="D490" s="1710"/>
      <c r="E490" s="1712"/>
      <c r="F490" s="1635"/>
      <c r="G490" s="1635"/>
      <c r="H490" s="1635"/>
      <c r="I490" s="1715" t="s">
        <v>1545</v>
      </c>
      <c r="J490" s="1430" t="s">
        <v>48</v>
      </c>
      <c r="K490" s="1397" t="s">
        <v>1546</v>
      </c>
      <c r="L490" s="204"/>
      <c r="M490" s="204"/>
      <c r="N490" s="759">
        <v>129.05699999999999</v>
      </c>
      <c r="O490" s="134">
        <v>129.05699999999999</v>
      </c>
      <c r="P490" s="759">
        <v>364.8</v>
      </c>
      <c r="Q490" s="759"/>
      <c r="R490" s="759"/>
      <c r="S490" s="759"/>
      <c r="W490" s="33"/>
      <c r="X490" s="33"/>
      <c r="Y490" s="33"/>
    </row>
    <row r="491" spans="1:25" s="9" customFormat="1" ht="38.25" customHeight="1">
      <c r="A491" s="227"/>
      <c r="B491" s="1218" t="s">
        <v>1554</v>
      </c>
      <c r="C491" s="710"/>
      <c r="D491" s="66"/>
      <c r="E491" s="765"/>
      <c r="F491" s="1484"/>
      <c r="G491" s="1484"/>
      <c r="H491" s="1484"/>
      <c r="I491" s="1716"/>
      <c r="J491" s="1430"/>
      <c r="K491" s="1397"/>
      <c r="L491" s="1474"/>
      <c r="M491" s="1474"/>
      <c r="N491" s="213">
        <v>0</v>
      </c>
      <c r="O491" s="213">
        <v>0</v>
      </c>
      <c r="P491" s="213">
        <v>364.8</v>
      </c>
      <c r="Q491" s="213"/>
      <c r="R491" s="213"/>
      <c r="S491" s="213"/>
      <c r="W491" s="33"/>
      <c r="X491" s="33"/>
      <c r="Y491" s="33"/>
    </row>
    <row r="492" spans="1:25" s="18" customFormat="1" ht="72" customHeight="1">
      <c r="A492" s="56" t="s">
        <v>364</v>
      </c>
      <c r="B492" s="57">
        <v>1500</v>
      </c>
      <c r="C492" s="1220" t="s">
        <v>22</v>
      </c>
      <c r="D492" s="1220" t="s">
        <v>22</v>
      </c>
      <c r="E492" s="1220" t="s">
        <v>22</v>
      </c>
      <c r="F492" s="1220" t="s">
        <v>22</v>
      </c>
      <c r="G492" s="1220" t="s">
        <v>22</v>
      </c>
      <c r="H492" s="1220" t="s">
        <v>22</v>
      </c>
      <c r="I492" s="1220" t="s">
        <v>22</v>
      </c>
      <c r="J492" s="57" t="s">
        <v>22</v>
      </c>
      <c r="K492" s="57" t="s">
        <v>22</v>
      </c>
      <c r="L492" s="57"/>
      <c r="M492" s="57"/>
      <c r="N492" s="328">
        <f>N493</f>
        <v>2870.2000000000003</v>
      </c>
      <c r="O492" s="1509">
        <f t="shared" ref="O492:S492" si="70">O493</f>
        <v>2863.2000000000003</v>
      </c>
      <c r="P492" s="328">
        <f t="shared" si="70"/>
        <v>2623.2840000000001</v>
      </c>
      <c r="Q492" s="328">
        <f t="shared" si="70"/>
        <v>1866.7</v>
      </c>
      <c r="R492" s="328">
        <f t="shared" si="70"/>
        <v>3169</v>
      </c>
      <c r="S492" s="328">
        <f t="shared" si="70"/>
        <v>2823.2</v>
      </c>
      <c r="W492" s="19"/>
      <c r="X492" s="19"/>
      <c r="Y492" s="19"/>
    </row>
    <row r="493" spans="1:25" s="18" customFormat="1" ht="63.75" customHeight="1">
      <c r="A493" s="56" t="s">
        <v>365</v>
      </c>
      <c r="B493" s="57">
        <v>1503</v>
      </c>
      <c r="C493" s="47" t="s">
        <v>40</v>
      </c>
      <c r="D493" s="47" t="s">
        <v>1245</v>
      </c>
      <c r="E493" s="47" t="s">
        <v>1159</v>
      </c>
      <c r="F493" s="56" t="s">
        <v>24</v>
      </c>
      <c r="G493" s="56" t="s">
        <v>24</v>
      </c>
      <c r="H493" s="56" t="s">
        <v>24</v>
      </c>
      <c r="I493" s="56" t="s">
        <v>24</v>
      </c>
      <c r="J493" s="56" t="s">
        <v>24</v>
      </c>
      <c r="K493" s="56" t="s">
        <v>24</v>
      </c>
      <c r="L493" s="57"/>
      <c r="M493" s="57"/>
      <c r="N493" s="328">
        <f>SUM(N494:N505)</f>
        <v>2870.2000000000003</v>
      </c>
      <c r="O493" s="1509">
        <f t="shared" ref="O493:S493" si="71">SUM(O494:O505)</f>
        <v>2863.2000000000003</v>
      </c>
      <c r="P493" s="328">
        <f t="shared" si="71"/>
        <v>2623.2840000000001</v>
      </c>
      <c r="Q493" s="328">
        <f t="shared" si="71"/>
        <v>1866.7</v>
      </c>
      <c r="R493" s="328">
        <f t="shared" si="71"/>
        <v>3169</v>
      </c>
      <c r="S493" s="328">
        <f t="shared" si="71"/>
        <v>2823.2</v>
      </c>
      <c r="W493" s="19"/>
      <c r="X493" s="19"/>
      <c r="Y493" s="19"/>
    </row>
    <row r="494" spans="1:25" s="18" customFormat="1" ht="13.5" customHeight="1">
      <c r="A494" s="676" t="s">
        <v>696</v>
      </c>
      <c r="B494" s="303"/>
      <c r="C494" s="1308"/>
      <c r="D494" s="1308"/>
      <c r="E494" s="1309"/>
      <c r="F494" s="775"/>
      <c r="G494" s="776"/>
      <c r="H494" s="777"/>
      <c r="I494" s="778"/>
      <c r="J494" s="196"/>
      <c r="K494" s="196"/>
      <c r="L494" s="779"/>
      <c r="M494" s="779"/>
      <c r="N494" s="750"/>
      <c r="O494" s="1507"/>
      <c r="P494" s="750"/>
      <c r="Q494" s="750"/>
      <c r="R494" s="750"/>
      <c r="S494" s="750"/>
      <c r="W494" s="19"/>
      <c r="X494" s="19"/>
      <c r="Y494" s="19"/>
    </row>
    <row r="495" spans="1:25" s="18" customFormat="1" ht="63" customHeight="1">
      <c r="A495" s="125" t="s">
        <v>780</v>
      </c>
      <c r="B495" s="7"/>
      <c r="C495" s="1714" t="s">
        <v>1406</v>
      </c>
      <c r="D495" s="1081" t="s">
        <v>58</v>
      </c>
      <c r="E495" s="1354" t="s">
        <v>1407</v>
      </c>
      <c r="F495" s="130"/>
      <c r="G495" s="131"/>
      <c r="H495" s="557"/>
      <c r="I495" s="210" t="s">
        <v>1043</v>
      </c>
      <c r="J495" s="5" t="s">
        <v>48</v>
      </c>
      <c r="K495" s="5" t="s">
        <v>849</v>
      </c>
      <c r="L495" s="7"/>
      <c r="M495" s="7"/>
      <c r="N495" s="127"/>
      <c r="O495" s="134"/>
      <c r="P495" s="127"/>
      <c r="Q495" s="127"/>
      <c r="R495" s="127"/>
      <c r="S495" s="127"/>
      <c r="W495" s="19"/>
      <c r="X495" s="19"/>
      <c r="Y495" s="19"/>
    </row>
    <row r="496" spans="1:25" s="18" customFormat="1" ht="162" customHeight="1">
      <c r="A496" s="128" t="s">
        <v>781</v>
      </c>
      <c r="B496" s="7"/>
      <c r="C496" s="1714"/>
      <c r="D496" s="1383"/>
      <c r="E496" s="1355"/>
      <c r="F496" s="1617" t="s">
        <v>565</v>
      </c>
      <c r="G496" s="131" t="s">
        <v>58</v>
      </c>
      <c r="H496" s="557" t="s">
        <v>566</v>
      </c>
      <c r="I496" s="210" t="s">
        <v>1539</v>
      </c>
      <c r="J496" s="5" t="s">
        <v>48</v>
      </c>
      <c r="K496" s="5" t="s">
        <v>1246</v>
      </c>
      <c r="L496" s="7" t="s">
        <v>16</v>
      </c>
      <c r="M496" s="7" t="s">
        <v>32</v>
      </c>
      <c r="N496" s="127">
        <v>300</v>
      </c>
      <c r="O496" s="134">
        <v>300</v>
      </c>
      <c r="P496" s="127">
        <v>100</v>
      </c>
      <c r="Q496" s="127">
        <v>100</v>
      </c>
      <c r="R496" s="127">
        <v>100</v>
      </c>
      <c r="S496" s="127">
        <v>100</v>
      </c>
      <c r="W496" s="19"/>
      <c r="X496" s="19"/>
      <c r="Y496" s="19"/>
    </row>
    <row r="497" spans="1:25" s="18" customFormat="1" ht="236.25" customHeight="1">
      <c r="A497" s="128"/>
      <c r="B497" s="7" t="s">
        <v>873</v>
      </c>
      <c r="C497" s="131"/>
      <c r="D497" s="131"/>
      <c r="E497" s="557"/>
      <c r="F497" s="1617"/>
      <c r="G497" s="131"/>
      <c r="H497" s="557"/>
      <c r="I497" s="210" t="s">
        <v>1247</v>
      </c>
      <c r="J497" s="5" t="s">
        <v>48</v>
      </c>
      <c r="K497" s="5" t="s">
        <v>298</v>
      </c>
      <c r="L497" s="7" t="s">
        <v>16</v>
      </c>
      <c r="M497" s="7" t="s">
        <v>32</v>
      </c>
      <c r="N497" s="127">
        <v>300</v>
      </c>
      <c r="O497" s="134">
        <v>300</v>
      </c>
      <c r="P497" s="127">
        <v>100</v>
      </c>
      <c r="Q497" s="127"/>
      <c r="R497" s="127"/>
      <c r="S497" s="127"/>
      <c r="W497" s="19"/>
      <c r="X497" s="19"/>
      <c r="Y497" s="19"/>
    </row>
    <row r="498" spans="1:25" s="18" customFormat="1" ht="38.25" customHeight="1">
      <c r="A498" s="128"/>
      <c r="B498" s="7"/>
      <c r="C498" s="780"/>
      <c r="D498" s="780"/>
      <c r="E498" s="780"/>
      <c r="F498" s="1617"/>
      <c r="G498" s="780"/>
      <c r="H498" s="780"/>
      <c r="I498" s="437" t="s">
        <v>60</v>
      </c>
      <c r="J498" s="437" t="s">
        <v>48</v>
      </c>
      <c r="K498" s="437" t="s">
        <v>51</v>
      </c>
      <c r="L498" s="7"/>
      <c r="M498" s="7"/>
      <c r="N498" s="127"/>
      <c r="O498" s="134"/>
      <c r="P498" s="127"/>
      <c r="Q498" s="127"/>
      <c r="R498" s="127"/>
      <c r="S498" s="127"/>
      <c r="W498" s="19"/>
      <c r="X498" s="19"/>
      <c r="Y498" s="19"/>
    </row>
    <row r="499" spans="1:25" s="18" customFormat="1" ht="35.25" customHeight="1">
      <c r="A499" s="125" t="s">
        <v>782</v>
      </c>
      <c r="B499" s="7"/>
      <c r="C499" s="131"/>
      <c r="D499" s="780"/>
      <c r="E499" s="780"/>
      <c r="F499" s="131"/>
      <c r="G499" s="780"/>
      <c r="H499" s="780"/>
      <c r="I499" s="1597" t="s">
        <v>1052</v>
      </c>
      <c r="J499" s="209" t="s">
        <v>48</v>
      </c>
      <c r="K499" s="209" t="s">
        <v>555</v>
      </c>
      <c r="L499" s="7" t="s">
        <v>16</v>
      </c>
      <c r="M499" s="7" t="s">
        <v>32</v>
      </c>
      <c r="N499" s="127">
        <v>2264.5160000000001</v>
      </c>
      <c r="O499" s="134">
        <v>2257.5160000000001</v>
      </c>
      <c r="P499" s="127">
        <f>2454.1+402.3-238.8-200</f>
        <v>2417.6</v>
      </c>
      <c r="Q499" s="127">
        <v>1761</v>
      </c>
      <c r="R499" s="127">
        <v>3063.3</v>
      </c>
      <c r="S499" s="127">
        <v>2717.5</v>
      </c>
      <c r="W499" s="19"/>
      <c r="X499" s="19"/>
      <c r="Y499" s="19"/>
    </row>
    <row r="500" spans="1:25" s="18" customFormat="1" ht="39.75" customHeight="1">
      <c r="A500" s="461" t="s">
        <v>1248</v>
      </c>
      <c r="B500" s="140"/>
      <c r="C500" s="1437"/>
      <c r="D500" s="781"/>
      <c r="E500" s="781"/>
      <c r="F500" s="1437"/>
      <c r="G500" s="781"/>
      <c r="H500" s="781"/>
      <c r="I500" s="1597"/>
      <c r="J500" s="139"/>
      <c r="K500" s="139"/>
      <c r="L500" s="140"/>
      <c r="M500" s="140"/>
      <c r="N500" s="141"/>
      <c r="O500" s="141"/>
      <c r="P500" s="141"/>
      <c r="Q500" s="141"/>
      <c r="R500" s="141"/>
      <c r="S500" s="141"/>
      <c r="W500" s="19"/>
      <c r="X500" s="19"/>
      <c r="Y500" s="19"/>
    </row>
    <row r="501" spans="1:25" s="18" customFormat="1" ht="37.5" customHeight="1">
      <c r="A501" s="1681" t="s">
        <v>1249</v>
      </c>
      <c r="B501" s="7"/>
      <c r="C501" s="131"/>
      <c r="D501" s="780"/>
      <c r="E501" s="780"/>
      <c r="F501" s="131"/>
      <c r="G501" s="780"/>
      <c r="H501" s="780"/>
      <c r="I501" s="1597" t="s">
        <v>131</v>
      </c>
      <c r="J501" s="1579" t="s">
        <v>48</v>
      </c>
      <c r="K501" s="1579" t="s">
        <v>74</v>
      </c>
      <c r="L501" s="7"/>
      <c r="M501" s="7"/>
      <c r="N501" s="127"/>
      <c r="O501" s="134"/>
      <c r="P501" s="127"/>
      <c r="Q501" s="127"/>
      <c r="R501" s="127"/>
      <c r="S501" s="127"/>
      <c r="W501" s="19"/>
      <c r="X501" s="19"/>
      <c r="Y501" s="19"/>
    </row>
    <row r="502" spans="1:25" s="18" customFormat="1" ht="37.5" customHeight="1">
      <c r="A502" s="1681"/>
      <c r="B502" s="7"/>
      <c r="C502" s="131"/>
      <c r="D502" s="131"/>
      <c r="E502" s="557"/>
      <c r="F502" s="130"/>
      <c r="G502" s="131"/>
      <c r="H502" s="557"/>
      <c r="I502" s="1597"/>
      <c r="J502" s="1579"/>
      <c r="K502" s="1579"/>
      <c r="L502" s="7"/>
      <c r="M502" s="7"/>
      <c r="N502" s="127"/>
      <c r="O502" s="134"/>
      <c r="P502" s="127"/>
      <c r="Q502" s="127"/>
      <c r="R502" s="127"/>
      <c r="S502" s="127"/>
      <c r="W502" s="19"/>
      <c r="X502" s="19"/>
      <c r="Y502" s="19"/>
    </row>
    <row r="503" spans="1:25" s="18" customFormat="1" ht="76.5" customHeight="1">
      <c r="A503" s="128"/>
      <c r="B503" s="7"/>
      <c r="C503" s="780"/>
      <c r="D503" s="780"/>
      <c r="E503" s="780"/>
      <c r="F503" s="780"/>
      <c r="G503" s="780"/>
      <c r="H503" s="780"/>
      <c r="I503" s="210" t="s">
        <v>701</v>
      </c>
      <c r="J503" s="5" t="s">
        <v>48</v>
      </c>
      <c r="K503" s="5" t="s">
        <v>261</v>
      </c>
      <c r="L503" s="204"/>
      <c r="M503" s="204"/>
      <c r="N503" s="127"/>
      <c r="O503" s="134"/>
      <c r="P503" s="127"/>
      <c r="Q503" s="127"/>
      <c r="R503" s="127"/>
      <c r="S503" s="127"/>
      <c r="W503" s="19"/>
      <c r="X503" s="19"/>
      <c r="Y503" s="19"/>
    </row>
    <row r="504" spans="1:25" s="9" customFormat="1" ht="62.25" customHeight="1">
      <c r="A504" s="125" t="s">
        <v>915</v>
      </c>
      <c r="B504" s="7"/>
      <c r="C504" s="131"/>
      <c r="D504" s="467"/>
      <c r="E504" s="467"/>
      <c r="F504" s="131"/>
      <c r="G504" s="131"/>
      <c r="H504" s="557"/>
      <c r="I504" s="5" t="s">
        <v>1589</v>
      </c>
      <c r="J504" s="5" t="s">
        <v>48</v>
      </c>
      <c r="K504" s="5" t="s">
        <v>654</v>
      </c>
      <c r="L504" s="204"/>
      <c r="M504" s="7"/>
      <c r="N504" s="127"/>
      <c r="O504" s="134"/>
      <c r="P504" s="127"/>
      <c r="Q504" s="127"/>
      <c r="R504" s="127"/>
      <c r="S504" s="127"/>
      <c r="W504" s="33"/>
      <c r="X504" s="33"/>
      <c r="Y504" s="33"/>
    </row>
    <row r="505" spans="1:25" s="9" customFormat="1" ht="36">
      <c r="A505" s="128" t="s">
        <v>783</v>
      </c>
      <c r="B505" s="7"/>
      <c r="C505" s="131"/>
      <c r="D505" s="467"/>
      <c r="E505" s="467"/>
      <c r="F505" s="131"/>
      <c r="G505" s="131"/>
      <c r="H505" s="557"/>
      <c r="I505" s="5" t="s">
        <v>549</v>
      </c>
      <c r="J505" s="5" t="s">
        <v>48</v>
      </c>
      <c r="K505" s="5" t="s">
        <v>506</v>
      </c>
      <c r="L505" s="204">
        <v>10</v>
      </c>
      <c r="M505" s="7" t="s">
        <v>26</v>
      </c>
      <c r="N505" s="127">
        <v>5.6840000000000002</v>
      </c>
      <c r="O505" s="134">
        <v>5.6840000000000002</v>
      </c>
      <c r="P505" s="127">
        <v>5.6840000000000002</v>
      </c>
      <c r="Q505" s="127">
        <v>5.7</v>
      </c>
      <c r="R505" s="127">
        <v>5.7</v>
      </c>
      <c r="S505" s="127">
        <v>5.7</v>
      </c>
      <c r="W505" s="33"/>
      <c r="X505" s="33"/>
      <c r="Y505" s="33"/>
    </row>
    <row r="506" spans="1:25" s="18" customFormat="1" ht="75" customHeight="1">
      <c r="A506" s="452" t="s">
        <v>366</v>
      </c>
      <c r="B506" s="190" t="s">
        <v>367</v>
      </c>
      <c r="C506" s="782" t="s">
        <v>40</v>
      </c>
      <c r="D506" s="783" t="s">
        <v>1241</v>
      </c>
      <c r="E506" s="784" t="s">
        <v>1159</v>
      </c>
      <c r="F506" s="785"/>
      <c r="G506" s="785"/>
      <c r="H506" s="785"/>
      <c r="I506" s="786"/>
      <c r="J506" s="787"/>
      <c r="K506" s="787"/>
      <c r="L506" s="528"/>
      <c r="M506" s="528"/>
      <c r="N506" s="193">
        <f>N507</f>
        <v>237.97300000000001</v>
      </c>
      <c r="O506" s="1506">
        <f t="shared" ref="O506:S506" si="72">O507</f>
        <v>237.97300000000001</v>
      </c>
      <c r="P506" s="193">
        <f t="shared" si="72"/>
        <v>260.60000000000002</v>
      </c>
      <c r="Q506" s="193">
        <f t="shared" si="72"/>
        <v>322.89999999999998</v>
      </c>
      <c r="R506" s="193">
        <f t="shared" si="72"/>
        <v>322.89999999999998</v>
      </c>
      <c r="S506" s="193">
        <f t="shared" si="72"/>
        <v>322.89999999999998</v>
      </c>
      <c r="W506" s="19"/>
      <c r="X506" s="19"/>
      <c r="Y506" s="19"/>
    </row>
    <row r="507" spans="1:25" s="18" customFormat="1" ht="95.25" customHeight="1">
      <c r="A507" s="56" t="s">
        <v>784</v>
      </c>
      <c r="B507" s="57">
        <v>1604</v>
      </c>
      <c r="C507" s="782" t="s">
        <v>40</v>
      </c>
      <c r="D507" s="783" t="s">
        <v>138</v>
      </c>
      <c r="E507" s="784" t="s">
        <v>1159</v>
      </c>
      <c r="F507" s="788" t="s">
        <v>148</v>
      </c>
      <c r="G507" s="789" t="s">
        <v>149</v>
      </c>
      <c r="H507" s="789" t="s">
        <v>150</v>
      </c>
      <c r="I507" s="789" t="s">
        <v>151</v>
      </c>
      <c r="J507" s="789" t="s">
        <v>102</v>
      </c>
      <c r="K507" s="790" t="s">
        <v>152</v>
      </c>
      <c r="L507" s="57" t="s">
        <v>25</v>
      </c>
      <c r="M507" s="57" t="s">
        <v>19</v>
      </c>
      <c r="N507" s="328">
        <v>237.97300000000001</v>
      </c>
      <c r="O507" s="1509">
        <v>237.97300000000001</v>
      </c>
      <c r="P507" s="328">
        <v>260.60000000000002</v>
      </c>
      <c r="Q507" s="328">
        <v>322.89999999999998</v>
      </c>
      <c r="R507" s="328">
        <v>322.89999999999998</v>
      </c>
      <c r="S507" s="328">
        <v>322.89999999999998</v>
      </c>
      <c r="W507" s="19"/>
      <c r="X507" s="19"/>
      <c r="Y507" s="19"/>
    </row>
    <row r="508" spans="1:25" s="18" customFormat="1" ht="123" customHeight="1">
      <c r="A508" s="56" t="s">
        <v>1344</v>
      </c>
      <c r="B508" s="57">
        <v>1700</v>
      </c>
      <c r="C508" s="57" t="s">
        <v>22</v>
      </c>
      <c r="D508" s="57" t="s">
        <v>22</v>
      </c>
      <c r="E508" s="57" t="s">
        <v>22</v>
      </c>
      <c r="F508" s="57" t="s">
        <v>22</v>
      </c>
      <c r="G508" s="57" t="s">
        <v>22</v>
      </c>
      <c r="H508" s="57" t="s">
        <v>22</v>
      </c>
      <c r="I508" s="57" t="s">
        <v>22</v>
      </c>
      <c r="J508" s="57" t="s">
        <v>22</v>
      </c>
      <c r="K508" s="57" t="s">
        <v>22</v>
      </c>
      <c r="L508" s="57"/>
      <c r="M508" s="57"/>
      <c r="N508" s="328">
        <f>N509+N515</f>
        <v>75135.179000000004</v>
      </c>
      <c r="O508" s="1509">
        <f t="shared" ref="O508:Q508" si="73">O509+O515</f>
        <v>66774.258959999992</v>
      </c>
      <c r="P508" s="328">
        <f t="shared" si="73"/>
        <v>80116.219370000006</v>
      </c>
      <c r="Q508" s="328">
        <f t="shared" si="73"/>
        <v>0</v>
      </c>
      <c r="R508" s="328">
        <f t="shared" ref="R508:S508" si="74">R509+R515</f>
        <v>0</v>
      </c>
      <c r="S508" s="328">
        <f t="shared" si="74"/>
        <v>0</v>
      </c>
      <c r="W508" s="19"/>
      <c r="X508" s="19"/>
      <c r="Y508" s="19"/>
    </row>
    <row r="509" spans="1:25" s="18" customFormat="1" ht="24.75" customHeight="1">
      <c r="A509" s="56" t="s">
        <v>368</v>
      </c>
      <c r="B509" s="57">
        <v>1701</v>
      </c>
      <c r="C509" s="57" t="s">
        <v>22</v>
      </c>
      <c r="D509" s="57" t="s">
        <v>22</v>
      </c>
      <c r="E509" s="57" t="s">
        <v>22</v>
      </c>
      <c r="F509" s="57" t="s">
        <v>22</v>
      </c>
      <c r="G509" s="57" t="s">
        <v>22</v>
      </c>
      <c r="H509" s="57" t="s">
        <v>22</v>
      </c>
      <c r="I509" s="57" t="s">
        <v>22</v>
      </c>
      <c r="J509" s="57" t="s">
        <v>22</v>
      </c>
      <c r="K509" s="57" t="s">
        <v>22</v>
      </c>
      <c r="L509" s="57"/>
      <c r="M509" s="57"/>
      <c r="N509" s="328">
        <f>N511</f>
        <v>20</v>
      </c>
      <c r="O509" s="1509">
        <f t="shared" ref="O509:Q509" si="75">O511</f>
        <v>20</v>
      </c>
      <c r="P509" s="328">
        <f t="shared" si="75"/>
        <v>19.5</v>
      </c>
      <c r="Q509" s="328">
        <f t="shared" si="75"/>
        <v>0</v>
      </c>
      <c r="R509" s="328">
        <f t="shared" ref="R509:S509" si="76">R511</f>
        <v>0</v>
      </c>
      <c r="S509" s="328">
        <f t="shared" si="76"/>
        <v>0</v>
      </c>
      <c r="W509" s="19"/>
      <c r="X509" s="19"/>
      <c r="Y509" s="19"/>
    </row>
    <row r="510" spans="1:25" s="18" customFormat="1" ht="12">
      <c r="A510" s="452" t="s">
        <v>66</v>
      </c>
      <c r="B510" s="528"/>
      <c r="C510" s="528"/>
      <c r="D510" s="528"/>
      <c r="E510" s="528"/>
      <c r="F510" s="528"/>
      <c r="G510" s="528"/>
      <c r="H510" s="528"/>
      <c r="I510" s="528"/>
      <c r="J510" s="528"/>
      <c r="K510" s="528"/>
      <c r="L510" s="323"/>
      <c r="M510" s="323"/>
      <c r="N510" s="328"/>
      <c r="O510" s="1509"/>
      <c r="P510" s="328"/>
      <c r="Q510" s="328"/>
      <c r="R510" s="328"/>
      <c r="S510" s="328"/>
      <c r="W510" s="19"/>
      <c r="X510" s="19"/>
      <c r="Y510" s="19"/>
    </row>
    <row r="511" spans="1:25" s="9" customFormat="1" ht="186" customHeight="1">
      <c r="A511" s="791" t="s">
        <v>1250</v>
      </c>
      <c r="B511" s="792" t="s">
        <v>1033</v>
      </c>
      <c r="C511" s="793" t="s">
        <v>153</v>
      </c>
      <c r="D511" s="794" t="s">
        <v>154</v>
      </c>
      <c r="E511" s="795" t="s">
        <v>1408</v>
      </c>
      <c r="F511" s="794" t="s">
        <v>155</v>
      </c>
      <c r="G511" s="794" t="s">
        <v>84</v>
      </c>
      <c r="H511" s="794" t="s">
        <v>45</v>
      </c>
      <c r="I511" s="794" t="s">
        <v>1053</v>
      </c>
      <c r="J511" s="794" t="s">
        <v>58</v>
      </c>
      <c r="K511" s="796" t="s">
        <v>156</v>
      </c>
      <c r="L511" s="792" t="s">
        <v>25</v>
      </c>
      <c r="M511" s="792" t="s">
        <v>27</v>
      </c>
      <c r="N511" s="797">
        <v>20</v>
      </c>
      <c r="O511" s="1542">
        <v>20</v>
      </c>
      <c r="P511" s="797">
        <v>19.5</v>
      </c>
      <c r="Q511" s="797"/>
      <c r="R511" s="797"/>
      <c r="S511" s="797"/>
      <c r="W511" s="33"/>
      <c r="X511" s="33"/>
      <c r="Y511" s="33"/>
    </row>
    <row r="512" spans="1:25" s="9" customFormat="1" ht="53.25" hidden="1" customHeight="1">
      <c r="A512" s="36" t="s">
        <v>386</v>
      </c>
      <c r="B512" s="82" t="s">
        <v>505</v>
      </c>
      <c r="C512" s="798" t="s">
        <v>176</v>
      </c>
      <c r="D512" s="83" t="s">
        <v>133</v>
      </c>
      <c r="E512" s="83" t="s">
        <v>177</v>
      </c>
      <c r="F512" s="83" t="s">
        <v>178</v>
      </c>
      <c r="G512" s="83" t="s">
        <v>179</v>
      </c>
      <c r="H512" s="83" t="s">
        <v>160</v>
      </c>
      <c r="I512" s="83" t="s">
        <v>597</v>
      </c>
      <c r="J512" s="799" t="s">
        <v>180</v>
      </c>
      <c r="K512" s="800" t="s">
        <v>181</v>
      </c>
      <c r="L512" s="82">
        <v>10</v>
      </c>
      <c r="M512" s="35" t="s">
        <v>29</v>
      </c>
      <c r="N512" s="84"/>
      <c r="O512" s="419"/>
      <c r="P512" s="84"/>
      <c r="Q512" s="84"/>
      <c r="R512" s="84"/>
      <c r="S512" s="84"/>
      <c r="W512" s="33"/>
      <c r="X512" s="33"/>
      <c r="Y512" s="33"/>
    </row>
    <row r="513" spans="1:25" s="9" customFormat="1" ht="53.25" hidden="1" customHeight="1">
      <c r="A513" s="801" t="s">
        <v>588</v>
      </c>
      <c r="B513" s="802">
        <v>1722</v>
      </c>
      <c r="C513" s="693"/>
      <c r="D513" s="693"/>
      <c r="E513" s="693"/>
      <c r="F513" s="693"/>
      <c r="G513" s="693"/>
      <c r="H513" s="693"/>
      <c r="I513" s="693"/>
      <c r="J513" s="694"/>
      <c r="K513" s="694"/>
      <c r="L513" s="803" t="s">
        <v>28</v>
      </c>
      <c r="M513" s="803" t="s">
        <v>32</v>
      </c>
      <c r="N513" s="804"/>
      <c r="O513" s="1503"/>
      <c r="P513" s="804"/>
      <c r="Q513" s="804"/>
      <c r="R513" s="804"/>
      <c r="S513" s="804"/>
      <c r="W513" s="33"/>
      <c r="X513" s="33"/>
      <c r="Y513" s="33"/>
    </row>
    <row r="514" spans="1:25" s="9" customFormat="1" ht="53.25" hidden="1" customHeight="1">
      <c r="A514" s="2" t="s">
        <v>477</v>
      </c>
      <c r="B514" s="567" t="s">
        <v>478</v>
      </c>
      <c r="C514" s="693"/>
      <c r="D514" s="693"/>
      <c r="E514" s="693"/>
      <c r="F514" s="693" t="s">
        <v>513</v>
      </c>
      <c r="G514" s="693" t="s">
        <v>193</v>
      </c>
      <c r="H514" s="693" t="s">
        <v>514</v>
      </c>
      <c r="I514" s="693" t="s">
        <v>511</v>
      </c>
      <c r="J514" s="694" t="s">
        <v>48</v>
      </c>
      <c r="K514" s="694" t="s">
        <v>512</v>
      </c>
      <c r="L514" s="567" t="s">
        <v>25</v>
      </c>
      <c r="M514" s="567" t="s">
        <v>19</v>
      </c>
      <c r="N514" s="568"/>
      <c r="O514" s="568"/>
      <c r="P514" s="568"/>
      <c r="Q514" s="568"/>
      <c r="R514" s="568"/>
      <c r="S514" s="568"/>
      <c r="W514" s="33"/>
      <c r="X514" s="33"/>
      <c r="Y514" s="33"/>
    </row>
    <row r="515" spans="1:25" s="18" customFormat="1" ht="28.5" customHeight="1">
      <c r="A515" s="10" t="s">
        <v>369</v>
      </c>
      <c r="B515" s="347">
        <v>1800</v>
      </c>
      <c r="C515" s="805"/>
      <c r="D515" s="805"/>
      <c r="E515" s="806"/>
      <c r="F515" s="805"/>
      <c r="G515" s="805"/>
      <c r="H515" s="805"/>
      <c r="I515" s="805"/>
      <c r="J515" s="805"/>
      <c r="K515" s="805"/>
      <c r="L515" s="347"/>
      <c r="M515" s="347"/>
      <c r="N515" s="807">
        <f>SUM(N517:N526)</f>
        <v>75115.179000000004</v>
      </c>
      <c r="O515" s="359">
        <f>SUM(O517:O526)</f>
        <v>66754.258959999992</v>
      </c>
      <c r="P515" s="807">
        <f>SUM(P517:P526)</f>
        <v>80096.719370000006</v>
      </c>
      <c r="Q515" s="807">
        <f t="shared" ref="Q515:R515" si="77">SUM(Q517:Q526)</f>
        <v>0</v>
      </c>
      <c r="R515" s="807">
        <f t="shared" si="77"/>
        <v>0</v>
      </c>
      <c r="S515" s="807">
        <f t="shared" ref="S515" si="78">SUM(S517:S526)</f>
        <v>0</v>
      </c>
      <c r="W515" s="19"/>
      <c r="X515" s="19"/>
      <c r="Y515" s="19"/>
    </row>
    <row r="516" spans="1:25" s="18" customFormat="1" ht="12">
      <c r="A516" s="452" t="s">
        <v>66</v>
      </c>
      <c r="B516" s="528"/>
      <c r="C516" s="528"/>
      <c r="D516" s="528"/>
      <c r="E516" s="528"/>
      <c r="F516" s="528"/>
      <c r="G516" s="528"/>
      <c r="H516" s="528"/>
      <c r="I516" s="528"/>
      <c r="J516" s="528"/>
      <c r="K516" s="528"/>
      <c r="L516" s="323"/>
      <c r="M516" s="323"/>
      <c r="N516" s="328"/>
      <c r="O516" s="1509"/>
      <c r="P516" s="328"/>
      <c r="Q516" s="328"/>
      <c r="R516" s="328"/>
      <c r="S516" s="328"/>
      <c r="W516" s="19"/>
      <c r="X516" s="19"/>
      <c r="Y516" s="19"/>
    </row>
    <row r="517" spans="1:25" s="707" customFormat="1" ht="12">
      <c r="A517" s="808"/>
      <c r="B517" s="809"/>
      <c r="C517" s="809"/>
      <c r="D517" s="809"/>
      <c r="E517" s="809"/>
      <c r="F517" s="809"/>
      <c r="G517" s="809"/>
      <c r="H517" s="809"/>
      <c r="I517" s="809"/>
      <c r="J517" s="809"/>
      <c r="K517" s="809"/>
      <c r="L517" s="810" t="s">
        <v>25</v>
      </c>
      <c r="M517" s="810" t="s">
        <v>29</v>
      </c>
      <c r="N517" s="815">
        <f t="shared" ref="N517:O517" si="79">N529+N530+N531+N533+N534+N543+N544+N545+N547+N548+N552+N538+N528</f>
        <v>16181.800000000001</v>
      </c>
      <c r="O517" s="815">
        <f t="shared" si="79"/>
        <v>13745.146000000001</v>
      </c>
      <c r="P517" s="815">
        <f>P529+P530+P531+P533+P534+P543+P544+P545+P547+P548+P552+P538+P528</f>
        <v>18671.699909999999</v>
      </c>
      <c r="Q517" s="815">
        <f t="shared" ref="Q517:S517" si="80">Q529+Q530+Q531+Q533+Q534+Q543+Q544+Q545+Q547+Q548+Q552+Q538+Q528</f>
        <v>0</v>
      </c>
      <c r="R517" s="815">
        <f t="shared" si="80"/>
        <v>0</v>
      </c>
      <c r="S517" s="815">
        <f t="shared" si="80"/>
        <v>0</v>
      </c>
      <c r="W517" s="708"/>
      <c r="X517" s="708"/>
      <c r="Y517" s="708"/>
    </row>
    <row r="518" spans="1:25" s="707" customFormat="1" ht="12">
      <c r="A518" s="811"/>
      <c r="B518" s="812"/>
      <c r="C518" s="812"/>
      <c r="D518" s="812"/>
      <c r="E518" s="812"/>
      <c r="F518" s="812"/>
      <c r="G518" s="812"/>
      <c r="H518" s="812"/>
      <c r="I518" s="812"/>
      <c r="J518" s="812"/>
      <c r="K518" s="812"/>
      <c r="L518" s="813" t="s">
        <v>25</v>
      </c>
      <c r="M518" s="813" t="s">
        <v>19</v>
      </c>
      <c r="N518" s="814">
        <f t="shared" ref="N518" si="81">N554</f>
        <v>1153.8</v>
      </c>
      <c r="O518" s="1543">
        <f t="shared" ref="O518" si="82">O554</f>
        <v>1153.8</v>
      </c>
      <c r="P518" s="814">
        <f>P554</f>
        <v>1326.9</v>
      </c>
      <c r="Q518" s="814">
        <f t="shared" ref="Q518:S518" si="83">Q554</f>
        <v>0</v>
      </c>
      <c r="R518" s="814">
        <f t="shared" si="83"/>
        <v>0</v>
      </c>
      <c r="S518" s="814">
        <f t="shared" si="83"/>
        <v>0</v>
      </c>
      <c r="W518" s="708"/>
      <c r="X518" s="708"/>
      <c r="Y518" s="708"/>
    </row>
    <row r="519" spans="1:25" s="707" customFormat="1" ht="12">
      <c r="A519" s="808"/>
      <c r="B519" s="809"/>
      <c r="C519" s="809"/>
      <c r="D519" s="809"/>
      <c r="E519" s="809"/>
      <c r="F519" s="809"/>
      <c r="G519" s="809"/>
      <c r="H519" s="809"/>
      <c r="I519" s="809"/>
      <c r="J519" s="809"/>
      <c r="K519" s="809"/>
      <c r="L519" s="810" t="s">
        <v>29</v>
      </c>
      <c r="M519" s="810" t="s">
        <v>25</v>
      </c>
      <c r="N519" s="815">
        <f t="shared" ref="N519" si="84">N535+N549</f>
        <v>245</v>
      </c>
      <c r="O519" s="1543">
        <f t="shared" ref="O519" si="85">O535+O549</f>
        <v>151.76299999999998</v>
      </c>
      <c r="P519" s="815">
        <f>P535+P549</f>
        <v>282.89999999999998</v>
      </c>
      <c r="Q519" s="815">
        <f t="shared" ref="Q519:S519" si="86">Q535+Q549</f>
        <v>0</v>
      </c>
      <c r="R519" s="815">
        <f t="shared" si="86"/>
        <v>0</v>
      </c>
      <c r="S519" s="815">
        <f t="shared" si="86"/>
        <v>0</v>
      </c>
      <c r="W519" s="708"/>
      <c r="X519" s="708"/>
      <c r="Y519" s="708"/>
    </row>
    <row r="520" spans="1:25" s="707" customFormat="1" ht="12">
      <c r="A520" s="808"/>
      <c r="B520" s="809"/>
      <c r="C520" s="809"/>
      <c r="D520" s="809"/>
      <c r="E520" s="809"/>
      <c r="F520" s="809"/>
      <c r="G520" s="809"/>
      <c r="H520" s="809"/>
      <c r="I520" s="809"/>
      <c r="J520" s="809"/>
      <c r="K520" s="809"/>
      <c r="L520" s="810" t="s">
        <v>29</v>
      </c>
      <c r="M520" s="810" t="s">
        <v>27</v>
      </c>
      <c r="N520" s="815">
        <f>N536+N550+N555+N557+N564+N537+N551</f>
        <v>16691.979000000003</v>
      </c>
      <c r="O520" s="815">
        <f>O536+O550+O555+O557+O564+O537+O551</f>
        <v>16147.298000000001</v>
      </c>
      <c r="P520" s="815">
        <f>P536+P537+P551+P550+P555+P564</f>
        <v>11735.721460000001</v>
      </c>
      <c r="Q520" s="815">
        <f t="shared" ref="Q520:S520" si="87">Q536+Q537+Q551+Q550+Q555+Q564</f>
        <v>0</v>
      </c>
      <c r="R520" s="815">
        <f t="shared" si="87"/>
        <v>0</v>
      </c>
      <c r="S520" s="815">
        <f t="shared" si="87"/>
        <v>0</v>
      </c>
      <c r="W520" s="708"/>
      <c r="X520" s="708"/>
      <c r="Y520" s="708"/>
    </row>
    <row r="521" spans="1:25" s="707" customFormat="1" ht="12">
      <c r="A521" s="808"/>
      <c r="B521" s="809"/>
      <c r="C521" s="809"/>
      <c r="D521" s="809"/>
      <c r="E521" s="809"/>
      <c r="F521" s="809"/>
      <c r="G521" s="809"/>
      <c r="H521" s="809"/>
      <c r="I521" s="809"/>
      <c r="J521" s="809"/>
      <c r="K521" s="809"/>
      <c r="L521" s="810" t="s">
        <v>33</v>
      </c>
      <c r="M521" s="810" t="s">
        <v>25</v>
      </c>
      <c r="N521" s="815">
        <f t="shared" ref="N521" si="88">N565</f>
        <v>953.21199999999999</v>
      </c>
      <c r="O521" s="1543">
        <f t="shared" ref="O521" si="89">O565</f>
        <v>953.21199999999999</v>
      </c>
      <c r="P521" s="815">
        <f>P565</f>
        <v>963.79600000000005</v>
      </c>
      <c r="Q521" s="815">
        <f t="shared" ref="Q521:S521" si="90">Q565</f>
        <v>0</v>
      </c>
      <c r="R521" s="815">
        <f t="shared" si="90"/>
        <v>0</v>
      </c>
      <c r="S521" s="815">
        <f t="shared" si="90"/>
        <v>0</v>
      </c>
      <c r="W521" s="708"/>
      <c r="X521" s="708"/>
      <c r="Y521" s="708"/>
    </row>
    <row r="522" spans="1:25" s="707" customFormat="1" ht="12">
      <c r="A522" s="808"/>
      <c r="B522" s="809"/>
      <c r="C522" s="809"/>
      <c r="D522" s="809"/>
      <c r="E522" s="809"/>
      <c r="F522" s="809"/>
      <c r="G522" s="809"/>
      <c r="H522" s="809"/>
      <c r="I522" s="809"/>
      <c r="J522" s="809"/>
      <c r="K522" s="809"/>
      <c r="L522" s="810" t="s">
        <v>33</v>
      </c>
      <c r="M522" s="810" t="s">
        <v>28</v>
      </c>
      <c r="N522" s="815">
        <f t="shared" ref="N522:Q522" si="91">N560+N566+N568</f>
        <v>2902.8719999999998</v>
      </c>
      <c r="O522" s="1543">
        <f t="shared" ref="O522" si="92">O560+O566+O568</f>
        <v>2186.8530000000001</v>
      </c>
      <c r="P522" s="815">
        <f>P560+P566+P568</f>
        <v>2882.46</v>
      </c>
      <c r="Q522" s="815">
        <f t="shared" si="91"/>
        <v>0</v>
      </c>
      <c r="R522" s="815">
        <f t="shared" ref="R522:S522" si="93">R560+R566+R568</f>
        <v>0</v>
      </c>
      <c r="S522" s="815">
        <f t="shared" si="93"/>
        <v>0</v>
      </c>
      <c r="W522" s="708"/>
      <c r="X522" s="708"/>
      <c r="Y522" s="708"/>
    </row>
    <row r="523" spans="1:25" s="707" customFormat="1" ht="12">
      <c r="A523" s="808"/>
      <c r="B523" s="809"/>
      <c r="C523" s="809"/>
      <c r="D523" s="809"/>
      <c r="E523" s="809"/>
      <c r="F523" s="809"/>
      <c r="G523" s="809"/>
      <c r="H523" s="809"/>
      <c r="I523" s="809"/>
      <c r="J523" s="809"/>
      <c r="K523" s="809"/>
      <c r="L523" s="810" t="s">
        <v>33</v>
      </c>
      <c r="M523" s="810" t="s">
        <v>32</v>
      </c>
      <c r="N523" s="815">
        <f t="shared" ref="N523:Q523" si="94">N567</f>
        <v>75.516000000000005</v>
      </c>
      <c r="O523" s="1543">
        <f t="shared" ref="O523" si="95">O567</f>
        <v>74.936999999999998</v>
      </c>
      <c r="P523" s="815">
        <f t="shared" si="94"/>
        <v>93.744</v>
      </c>
      <c r="Q523" s="815">
        <f t="shared" si="94"/>
        <v>0</v>
      </c>
      <c r="R523" s="815">
        <f t="shared" ref="R523:S523" si="96">R567</f>
        <v>0</v>
      </c>
      <c r="S523" s="815">
        <f t="shared" si="96"/>
        <v>0</v>
      </c>
      <c r="W523" s="708"/>
      <c r="X523" s="708"/>
      <c r="Y523" s="708"/>
    </row>
    <row r="524" spans="1:25" s="707" customFormat="1" ht="12">
      <c r="A524" s="808"/>
      <c r="B524" s="809"/>
      <c r="C524" s="809"/>
      <c r="D524" s="809"/>
      <c r="E524" s="809"/>
      <c r="F524" s="809"/>
      <c r="G524" s="809"/>
      <c r="H524" s="809"/>
      <c r="I524" s="809"/>
      <c r="J524" s="809"/>
      <c r="K524" s="809"/>
      <c r="L524" s="810" t="s">
        <v>33</v>
      </c>
      <c r="M524" s="810" t="s">
        <v>27</v>
      </c>
      <c r="N524" s="815">
        <v>0</v>
      </c>
      <c r="O524" s="1543">
        <v>0</v>
      </c>
      <c r="P524" s="815">
        <v>0</v>
      </c>
      <c r="Q524" s="815">
        <v>0</v>
      </c>
      <c r="R524" s="815">
        <v>0</v>
      </c>
      <c r="S524" s="815">
        <v>0</v>
      </c>
      <c r="W524" s="708"/>
      <c r="X524" s="708"/>
      <c r="Y524" s="708"/>
    </row>
    <row r="525" spans="1:25" s="707" customFormat="1" ht="12">
      <c r="A525" s="808"/>
      <c r="B525" s="809"/>
      <c r="C525" s="809"/>
      <c r="D525" s="809"/>
      <c r="E525" s="809"/>
      <c r="F525" s="809"/>
      <c r="G525" s="809"/>
      <c r="H525" s="809"/>
      <c r="I525" s="809"/>
      <c r="J525" s="809"/>
      <c r="K525" s="809"/>
      <c r="L525" s="810" t="s">
        <v>16</v>
      </c>
      <c r="M525" s="810" t="s">
        <v>29</v>
      </c>
      <c r="N525" s="815">
        <f t="shared" ref="N525:Q525" si="97">N561+N559</f>
        <v>36887.1</v>
      </c>
      <c r="O525" s="1543">
        <f t="shared" ref="O525" si="98">O561+O559</f>
        <v>32318.254959999998</v>
      </c>
      <c r="P525" s="815">
        <f>P561+P559</f>
        <v>44112</v>
      </c>
      <c r="Q525" s="815">
        <f t="shared" si="97"/>
        <v>0</v>
      </c>
      <c r="R525" s="815">
        <f t="shared" ref="R525:S525" si="99">R561+R559</f>
        <v>0</v>
      </c>
      <c r="S525" s="815">
        <f t="shared" si="99"/>
        <v>0</v>
      </c>
      <c r="W525" s="708"/>
      <c r="X525" s="708"/>
      <c r="Y525" s="708"/>
    </row>
    <row r="526" spans="1:25" s="707" customFormat="1" ht="12">
      <c r="A526" s="808"/>
      <c r="B526" s="809"/>
      <c r="C526" s="809"/>
      <c r="D526" s="809"/>
      <c r="E526" s="809"/>
      <c r="F526" s="809"/>
      <c r="G526" s="809"/>
      <c r="H526" s="809"/>
      <c r="I526" s="809"/>
      <c r="J526" s="809"/>
      <c r="K526" s="809"/>
      <c r="L526" s="810" t="s">
        <v>16</v>
      </c>
      <c r="M526" s="810" t="s">
        <v>26</v>
      </c>
      <c r="N526" s="815">
        <f t="shared" ref="N526:Q526" si="100">N539+N553</f>
        <v>23.9</v>
      </c>
      <c r="O526" s="1543">
        <f t="shared" ref="O526" si="101">O539+O553</f>
        <v>22.995000000000001</v>
      </c>
      <c r="P526" s="815">
        <f>P539+P553</f>
        <v>27.497999999999998</v>
      </c>
      <c r="Q526" s="815">
        <f t="shared" si="100"/>
        <v>0</v>
      </c>
      <c r="R526" s="815">
        <f t="shared" ref="R526:S526" si="102">R539+R553</f>
        <v>0</v>
      </c>
      <c r="S526" s="815">
        <f t="shared" si="102"/>
        <v>0</v>
      </c>
      <c r="W526" s="708"/>
      <c r="X526" s="708"/>
      <c r="Y526" s="708"/>
    </row>
    <row r="527" spans="1:25" s="9" customFormat="1" ht="60">
      <c r="A527" s="1702" t="s">
        <v>580</v>
      </c>
      <c r="B527" s="50">
        <v>1801</v>
      </c>
      <c r="C527" s="782" t="s">
        <v>40</v>
      </c>
      <c r="D527" s="783" t="s">
        <v>1409</v>
      </c>
      <c r="E527" s="784" t="s">
        <v>1159</v>
      </c>
      <c r="F527" s="693"/>
      <c r="G527" s="693"/>
      <c r="H527" s="693"/>
      <c r="I527" s="693"/>
      <c r="J527" s="693"/>
      <c r="K527" s="693"/>
      <c r="L527" s="50"/>
      <c r="M527" s="50"/>
      <c r="N527" s="568">
        <f>SUM(N528:N540)</f>
        <v>13085.202000000003</v>
      </c>
      <c r="O527" s="568">
        <f>SUM(O528:O540)</f>
        <v>10841.082</v>
      </c>
      <c r="P527" s="568">
        <f t="shared" ref="P527" si="103">SUM(P528:P540)</f>
        <v>15061.474000000002</v>
      </c>
      <c r="Q527" s="568"/>
      <c r="R527" s="568"/>
      <c r="S527" s="568"/>
      <c r="T527" s="816"/>
      <c r="U527" s="816"/>
      <c r="W527" s="33"/>
      <c r="X527" s="33"/>
      <c r="Y527" s="33"/>
    </row>
    <row r="528" spans="1:25" s="150" customFormat="1" ht="132.75" customHeight="1">
      <c r="A528" s="1701"/>
      <c r="B528" s="288" t="s">
        <v>387</v>
      </c>
      <c r="C528" s="655" t="s">
        <v>157</v>
      </c>
      <c r="D528" s="655" t="s">
        <v>1410</v>
      </c>
      <c r="E528" s="655" t="s">
        <v>158</v>
      </c>
      <c r="F528" s="655" t="s">
        <v>159</v>
      </c>
      <c r="G528" s="655" t="s">
        <v>417</v>
      </c>
      <c r="H528" s="655" t="s">
        <v>1251</v>
      </c>
      <c r="I528" s="655" t="s">
        <v>495</v>
      </c>
      <c r="J528" s="817" t="s">
        <v>161</v>
      </c>
      <c r="K528" s="817" t="s">
        <v>162</v>
      </c>
      <c r="L528" s="818" t="s">
        <v>25</v>
      </c>
      <c r="M528" s="818" t="s">
        <v>29</v>
      </c>
      <c r="N528" s="819"/>
      <c r="O528" s="819"/>
      <c r="P528" s="819"/>
      <c r="Q528" s="819"/>
      <c r="R528" s="819"/>
      <c r="S528" s="819"/>
      <c r="W528" s="151"/>
      <c r="X528" s="151"/>
      <c r="Y528" s="151"/>
    </row>
    <row r="529" spans="1:25" s="150" customFormat="1" ht="124.5" customHeight="1">
      <c r="A529" s="1701"/>
      <c r="B529" s="820" t="s">
        <v>1039</v>
      </c>
      <c r="C529" s="821" t="s">
        <v>189</v>
      </c>
      <c r="D529" s="821" t="s">
        <v>190</v>
      </c>
      <c r="E529" s="821" t="s">
        <v>191</v>
      </c>
      <c r="F529" s="821" t="s">
        <v>192</v>
      </c>
      <c r="G529" s="821" t="s">
        <v>193</v>
      </c>
      <c r="H529" s="822" t="s">
        <v>1253</v>
      </c>
      <c r="I529" s="693" t="s">
        <v>194</v>
      </c>
      <c r="J529" s="693" t="s">
        <v>58</v>
      </c>
      <c r="K529" s="821" t="s">
        <v>195</v>
      </c>
      <c r="L529" s="818" t="s">
        <v>25</v>
      </c>
      <c r="M529" s="818" t="s">
        <v>29</v>
      </c>
      <c r="N529" s="819">
        <f>702.541</f>
        <v>702.54100000000005</v>
      </c>
      <c r="O529" s="819">
        <f>702.541</f>
        <v>702.54100000000005</v>
      </c>
      <c r="P529" s="819">
        <f>806.9</f>
        <v>806.9</v>
      </c>
      <c r="Q529" s="819"/>
      <c r="R529" s="819"/>
      <c r="S529" s="819"/>
      <c r="W529" s="151"/>
      <c r="X529" s="151"/>
      <c r="Y529" s="151"/>
    </row>
    <row r="530" spans="1:25" s="150" customFormat="1" ht="120">
      <c r="A530" s="1701"/>
      <c r="B530" s="823"/>
      <c r="C530" s="821" t="s">
        <v>196</v>
      </c>
      <c r="D530" s="821" t="s">
        <v>197</v>
      </c>
      <c r="E530" s="821" t="s">
        <v>198</v>
      </c>
      <c r="F530" s="821" t="s">
        <v>199</v>
      </c>
      <c r="G530" s="821" t="s">
        <v>200</v>
      </c>
      <c r="H530" s="821" t="s">
        <v>42</v>
      </c>
      <c r="I530" s="693" t="s">
        <v>201</v>
      </c>
      <c r="J530" s="693" t="s">
        <v>58</v>
      </c>
      <c r="K530" s="693" t="s">
        <v>202</v>
      </c>
      <c r="L530" s="818"/>
      <c r="M530" s="818"/>
      <c r="N530" s="819">
        <v>1230</v>
      </c>
      <c r="O530" s="819">
        <v>1177.242</v>
      </c>
      <c r="P530" s="819">
        <v>1409</v>
      </c>
      <c r="Q530" s="819"/>
      <c r="R530" s="819"/>
      <c r="S530" s="819"/>
      <c r="W530" s="151"/>
      <c r="X530" s="151"/>
      <c r="Y530" s="151"/>
    </row>
    <row r="531" spans="1:25" s="150" customFormat="1" ht="118.5" customHeight="1">
      <c r="A531" s="824"/>
      <c r="B531" s="567" t="s">
        <v>1126</v>
      </c>
      <c r="C531" s="821" t="s">
        <v>137</v>
      </c>
      <c r="D531" s="821" t="s">
        <v>170</v>
      </c>
      <c r="E531" s="821" t="s">
        <v>203</v>
      </c>
      <c r="F531" s="821" t="s">
        <v>204</v>
      </c>
      <c r="G531" s="821" t="s">
        <v>464</v>
      </c>
      <c r="H531" s="821" t="s">
        <v>45</v>
      </c>
      <c r="I531" s="821" t="s">
        <v>623</v>
      </c>
      <c r="J531" s="821" t="s">
        <v>58</v>
      </c>
      <c r="K531" s="821" t="s">
        <v>205</v>
      </c>
      <c r="L531" s="818"/>
      <c r="M531" s="818"/>
      <c r="N531" s="819">
        <v>855</v>
      </c>
      <c r="O531" s="819">
        <v>458.976</v>
      </c>
      <c r="P531" s="568">
        <f>1036.4</f>
        <v>1036.4000000000001</v>
      </c>
      <c r="Q531" s="568"/>
      <c r="R531" s="568"/>
      <c r="S531" s="568"/>
      <c r="W531" s="151"/>
      <c r="X531" s="151"/>
      <c r="Y531" s="151"/>
    </row>
    <row r="532" spans="1:25" s="150" customFormat="1" ht="12">
      <c r="A532" s="824"/>
      <c r="B532" s="567"/>
      <c r="C532" s="663"/>
      <c r="D532" s="664"/>
      <c r="E532" s="663"/>
      <c r="F532" s="821"/>
      <c r="G532" s="821"/>
      <c r="H532" s="822"/>
      <c r="I532" s="821"/>
      <c r="J532" s="822"/>
      <c r="K532" s="822"/>
      <c r="L532" s="818"/>
      <c r="M532" s="818"/>
      <c r="N532" s="819"/>
      <c r="O532" s="819"/>
      <c r="P532" s="819"/>
      <c r="Q532" s="819"/>
      <c r="R532" s="819"/>
      <c r="S532" s="819"/>
      <c r="W532" s="151"/>
      <c r="X532" s="151"/>
      <c r="Y532" s="151"/>
    </row>
    <row r="533" spans="1:25" s="150" customFormat="1" ht="216.75" customHeight="1">
      <c r="A533" s="824"/>
      <c r="B533" s="567" t="s">
        <v>1127</v>
      </c>
      <c r="C533" s="821" t="s">
        <v>498</v>
      </c>
      <c r="D533" s="821" t="s">
        <v>499</v>
      </c>
      <c r="E533" s="821" t="s">
        <v>501</v>
      </c>
      <c r="F533" s="693" t="s">
        <v>215</v>
      </c>
      <c r="G533" s="693" t="s">
        <v>216</v>
      </c>
      <c r="H533" s="694" t="s">
        <v>1413</v>
      </c>
      <c r="I533" s="693" t="s">
        <v>426</v>
      </c>
      <c r="J533" s="694" t="s">
        <v>217</v>
      </c>
      <c r="K533" s="825" t="s">
        <v>218</v>
      </c>
      <c r="L533" s="818"/>
      <c r="M533" s="818"/>
      <c r="N533" s="819">
        <v>22.134</v>
      </c>
      <c r="O533" s="819">
        <v>22.134</v>
      </c>
      <c r="P533" s="819">
        <v>25.555</v>
      </c>
      <c r="Q533" s="819"/>
      <c r="R533" s="819"/>
      <c r="S533" s="819"/>
      <c r="W533" s="151"/>
      <c r="X533" s="151"/>
      <c r="Y533" s="151"/>
    </row>
    <row r="534" spans="1:25" s="150" customFormat="1" ht="180.75" customHeight="1">
      <c r="A534" s="824"/>
      <c r="B534" s="567" t="s">
        <v>389</v>
      </c>
      <c r="C534" s="821" t="s">
        <v>221</v>
      </c>
      <c r="D534" s="821" t="s">
        <v>222</v>
      </c>
      <c r="E534" s="822" t="s">
        <v>223</v>
      </c>
      <c r="F534" s="821" t="s">
        <v>224</v>
      </c>
      <c r="G534" s="821" t="s">
        <v>183</v>
      </c>
      <c r="H534" s="821" t="s">
        <v>1412</v>
      </c>
      <c r="I534" s="821" t="s">
        <v>466</v>
      </c>
      <c r="J534" s="826" t="s">
        <v>163</v>
      </c>
      <c r="K534" s="826" t="s">
        <v>225</v>
      </c>
      <c r="L534" s="818"/>
      <c r="M534" s="818"/>
      <c r="N534" s="819">
        <v>89.164000000000001</v>
      </c>
      <c r="O534" s="819">
        <v>89.164000000000001</v>
      </c>
      <c r="P534" s="819">
        <v>102.569</v>
      </c>
      <c r="Q534" s="819"/>
      <c r="R534" s="819"/>
      <c r="S534" s="819"/>
      <c r="W534" s="151"/>
      <c r="X534" s="151"/>
      <c r="Y534" s="151"/>
    </row>
    <row r="535" spans="1:25" s="150" customFormat="1" ht="120.75" customHeight="1">
      <c r="A535" s="824"/>
      <c r="B535" s="567" t="s">
        <v>390</v>
      </c>
      <c r="C535" s="788" t="s">
        <v>1260</v>
      </c>
      <c r="D535" s="789" t="s">
        <v>1258</v>
      </c>
      <c r="E535" s="789" t="s">
        <v>465</v>
      </c>
      <c r="F535" s="789" t="s">
        <v>210</v>
      </c>
      <c r="G535" s="789" t="s">
        <v>183</v>
      </c>
      <c r="H535" s="789" t="s">
        <v>1256</v>
      </c>
      <c r="I535" s="827" t="s">
        <v>211</v>
      </c>
      <c r="J535" s="827" t="s">
        <v>48</v>
      </c>
      <c r="K535" s="828" t="s">
        <v>212</v>
      </c>
      <c r="L535" s="818" t="s">
        <v>29</v>
      </c>
      <c r="M535" s="818" t="s">
        <v>25</v>
      </c>
      <c r="N535" s="819">
        <v>186.5</v>
      </c>
      <c r="O535" s="819">
        <v>114.60299999999999</v>
      </c>
      <c r="P535" s="819">
        <v>215.13</v>
      </c>
      <c r="Q535" s="819"/>
      <c r="R535" s="819"/>
      <c r="S535" s="819"/>
      <c r="W535" s="151"/>
      <c r="X535" s="151"/>
      <c r="Y535" s="151"/>
    </row>
    <row r="536" spans="1:25" s="150" customFormat="1" ht="117" customHeight="1">
      <c r="A536" s="824"/>
      <c r="B536" s="818" t="s">
        <v>408</v>
      </c>
      <c r="C536" s="539" t="s">
        <v>270</v>
      </c>
      <c r="D536" s="539" t="s">
        <v>1259</v>
      </c>
      <c r="E536" s="539" t="s">
        <v>272</v>
      </c>
      <c r="F536" s="539" t="s">
        <v>273</v>
      </c>
      <c r="G536" s="539" t="s">
        <v>274</v>
      </c>
      <c r="H536" s="539" t="s">
        <v>42</v>
      </c>
      <c r="I536" s="539" t="s">
        <v>598</v>
      </c>
      <c r="J536" s="829" t="s">
        <v>50</v>
      </c>
      <c r="K536" s="829" t="s">
        <v>267</v>
      </c>
      <c r="L536" s="818" t="s">
        <v>29</v>
      </c>
      <c r="M536" s="818" t="s">
        <v>27</v>
      </c>
      <c r="N536" s="819">
        <v>1556.8019999999999</v>
      </c>
      <c r="O536" s="819">
        <v>1169.944</v>
      </c>
      <c r="P536" s="819">
        <v>1768.9</v>
      </c>
      <c r="Q536" s="819"/>
      <c r="R536" s="819"/>
      <c r="S536" s="819"/>
      <c r="W536" s="151"/>
      <c r="X536" s="151"/>
      <c r="Y536" s="151"/>
    </row>
    <row r="537" spans="1:25" s="150" customFormat="1" ht="144">
      <c r="A537" s="824"/>
      <c r="B537" s="818" t="s">
        <v>409</v>
      </c>
      <c r="C537" s="661" t="s">
        <v>1261</v>
      </c>
      <c r="D537" s="661" t="s">
        <v>1262</v>
      </c>
      <c r="E537" s="662" t="s">
        <v>1263</v>
      </c>
      <c r="F537" s="661" t="s">
        <v>1264</v>
      </c>
      <c r="G537" s="661" t="s">
        <v>193</v>
      </c>
      <c r="H537" s="661" t="s">
        <v>406</v>
      </c>
      <c r="I537" s="661" t="s">
        <v>407</v>
      </c>
      <c r="J537" s="662" t="s">
        <v>58</v>
      </c>
      <c r="K537" s="662" t="s">
        <v>214</v>
      </c>
      <c r="L537" s="818"/>
      <c r="M537" s="818"/>
      <c r="N537" s="819">
        <v>49.77</v>
      </c>
      <c r="O537" s="819">
        <v>49.77</v>
      </c>
      <c r="P537" s="819">
        <v>57.22</v>
      </c>
      <c r="Q537" s="819"/>
      <c r="R537" s="819"/>
      <c r="S537" s="819"/>
      <c r="W537" s="151"/>
      <c r="X537" s="151"/>
      <c r="Y537" s="151"/>
    </row>
    <row r="538" spans="1:25" s="9" customFormat="1" ht="136.5" customHeight="1">
      <c r="A538" s="267"/>
      <c r="B538" s="820" t="s">
        <v>448</v>
      </c>
      <c r="C538" s="821" t="s">
        <v>137</v>
      </c>
      <c r="D538" s="821" t="s">
        <v>170</v>
      </c>
      <c r="E538" s="821" t="s">
        <v>203</v>
      </c>
      <c r="F538" s="821" t="s">
        <v>204</v>
      </c>
      <c r="G538" s="821" t="s">
        <v>84</v>
      </c>
      <c r="H538" s="821" t="s">
        <v>45</v>
      </c>
      <c r="I538" s="821" t="s">
        <v>623</v>
      </c>
      <c r="J538" s="821" t="s">
        <v>58</v>
      </c>
      <c r="K538" s="821" t="s">
        <v>205</v>
      </c>
      <c r="L538" s="830" t="s">
        <v>25</v>
      </c>
      <c r="M538" s="818" t="s">
        <v>29</v>
      </c>
      <c r="N538" s="819">
        <v>8376.5130000000008</v>
      </c>
      <c r="O538" s="819">
        <v>7040.7160000000003</v>
      </c>
      <c r="P538" s="819">
        <v>9620.6</v>
      </c>
      <c r="Q538" s="819"/>
      <c r="R538" s="819"/>
      <c r="S538" s="819"/>
      <c r="W538" s="33"/>
      <c r="X538" s="33"/>
      <c r="Y538" s="33"/>
    </row>
    <row r="539" spans="1:25" s="9" customFormat="1" ht="77.25" customHeight="1">
      <c r="A539" s="267"/>
      <c r="B539" s="1625" t="s">
        <v>1038</v>
      </c>
      <c r="C539" s="1621" t="s">
        <v>137</v>
      </c>
      <c r="D539" s="1621" t="s">
        <v>170</v>
      </c>
      <c r="E539" s="1621" t="s">
        <v>139</v>
      </c>
      <c r="F539" s="1621" t="s">
        <v>1265</v>
      </c>
      <c r="G539" s="1621" t="s">
        <v>172</v>
      </c>
      <c r="H539" s="1621" t="s">
        <v>1411</v>
      </c>
      <c r="I539" s="1621" t="s">
        <v>623</v>
      </c>
      <c r="J539" s="1621" t="s">
        <v>58</v>
      </c>
      <c r="K539" s="1621" t="s">
        <v>175</v>
      </c>
      <c r="L539" s="831" t="s">
        <v>16</v>
      </c>
      <c r="M539" s="831" t="s">
        <v>26</v>
      </c>
      <c r="N539" s="832">
        <v>16.777999999999999</v>
      </c>
      <c r="O539" s="1544">
        <v>15.992000000000001</v>
      </c>
      <c r="P539" s="832">
        <v>19.2</v>
      </c>
      <c r="Q539" s="832"/>
      <c r="R539" s="832"/>
      <c r="S539" s="832"/>
      <c r="W539" s="33"/>
      <c r="X539" s="33"/>
      <c r="Y539" s="33"/>
    </row>
    <row r="540" spans="1:25" s="150" customFormat="1" ht="134.25" customHeight="1">
      <c r="A540" s="833"/>
      <c r="B540" s="1703"/>
      <c r="C540" s="1622"/>
      <c r="D540" s="1622"/>
      <c r="E540" s="1622"/>
      <c r="F540" s="1622"/>
      <c r="G540" s="1622"/>
      <c r="H540" s="1622"/>
      <c r="I540" s="1622"/>
      <c r="J540" s="1622"/>
      <c r="K540" s="1622"/>
      <c r="L540" s="834"/>
      <c r="M540" s="834"/>
      <c r="N540" s="835"/>
      <c r="O540" s="1545"/>
      <c r="P540" s="835"/>
      <c r="Q540" s="835"/>
      <c r="R540" s="835"/>
      <c r="S540" s="835"/>
      <c r="W540" s="151"/>
      <c r="X540" s="151"/>
      <c r="Y540" s="151"/>
    </row>
    <row r="541" spans="1:25" s="9" customFormat="1" ht="14.25" customHeight="1">
      <c r="A541" s="1640" t="s">
        <v>581</v>
      </c>
      <c r="B541" s="50">
        <v>1802</v>
      </c>
      <c r="C541" s="693"/>
      <c r="D541" s="693"/>
      <c r="E541" s="694"/>
      <c r="F541" s="693"/>
      <c r="G541" s="693"/>
      <c r="H541" s="693"/>
      <c r="I541" s="693"/>
      <c r="J541" s="693"/>
      <c r="K541" s="693"/>
      <c r="L541" s="50"/>
      <c r="M541" s="50"/>
      <c r="N541" s="568">
        <f>SUM(N542:N553)</f>
        <v>5657.3980000000001</v>
      </c>
      <c r="O541" s="568">
        <f t="shared" ref="O541" si="104">SUM(O542:O553)</f>
        <v>4862.1019999999999</v>
      </c>
      <c r="P541" s="568">
        <f>SUM(P542:P553)</f>
        <v>6556.3239100000001</v>
      </c>
      <c r="Q541" s="568"/>
      <c r="R541" s="568"/>
      <c r="S541" s="568"/>
      <c r="W541" s="33"/>
      <c r="X541" s="33"/>
      <c r="Y541" s="33"/>
    </row>
    <row r="542" spans="1:25" s="150" customFormat="1" ht="132.75" customHeight="1">
      <c r="A542" s="1701"/>
      <c r="B542" s="288" t="s">
        <v>387</v>
      </c>
      <c r="C542" s="655" t="s">
        <v>157</v>
      </c>
      <c r="D542" s="655" t="s">
        <v>416</v>
      </c>
      <c r="E542" s="655" t="s">
        <v>158</v>
      </c>
      <c r="F542" s="655" t="s">
        <v>159</v>
      </c>
      <c r="G542" s="655" t="s">
        <v>417</v>
      </c>
      <c r="H542" s="655" t="s">
        <v>1251</v>
      </c>
      <c r="I542" s="655" t="s">
        <v>482</v>
      </c>
      <c r="J542" s="817" t="s">
        <v>161</v>
      </c>
      <c r="K542" s="817" t="s">
        <v>162</v>
      </c>
      <c r="L542" s="818" t="s">
        <v>25</v>
      </c>
      <c r="M542" s="818" t="s">
        <v>29</v>
      </c>
      <c r="N542" s="819"/>
      <c r="O542" s="819"/>
      <c r="P542" s="819"/>
      <c r="Q542" s="819"/>
      <c r="R542" s="819"/>
      <c r="S542" s="819"/>
      <c r="W542" s="151"/>
      <c r="X542" s="151"/>
      <c r="Y542" s="151"/>
    </row>
    <row r="543" spans="1:25" s="150" customFormat="1" ht="108" customHeight="1">
      <c r="A543" s="1701"/>
      <c r="B543" s="820" t="s">
        <v>1039</v>
      </c>
      <c r="C543" s="821" t="s">
        <v>189</v>
      </c>
      <c r="D543" s="821" t="s">
        <v>190</v>
      </c>
      <c r="E543" s="821" t="s">
        <v>191</v>
      </c>
      <c r="F543" s="821" t="s">
        <v>192</v>
      </c>
      <c r="G543" s="821" t="s">
        <v>193</v>
      </c>
      <c r="H543" s="822" t="s">
        <v>1253</v>
      </c>
      <c r="I543" s="693" t="s">
        <v>194</v>
      </c>
      <c r="J543" s="693" t="s">
        <v>58</v>
      </c>
      <c r="K543" s="821" t="s">
        <v>195</v>
      </c>
      <c r="L543" s="836" t="s">
        <v>25</v>
      </c>
      <c r="M543" s="836" t="s">
        <v>29</v>
      </c>
      <c r="N543" s="819">
        <v>360.75900000000001</v>
      </c>
      <c r="O543" s="819">
        <v>342.084</v>
      </c>
      <c r="P543" s="819">
        <f>400.5</f>
        <v>400.5</v>
      </c>
      <c r="Q543" s="819"/>
      <c r="R543" s="819"/>
      <c r="S543" s="819"/>
      <c r="W543" s="151"/>
      <c r="X543" s="151"/>
      <c r="Y543" s="151"/>
    </row>
    <row r="544" spans="1:25" s="150" customFormat="1" ht="120" customHeight="1">
      <c r="A544" s="1701"/>
      <c r="B544" s="823"/>
      <c r="C544" s="821" t="s">
        <v>196</v>
      </c>
      <c r="D544" s="821" t="s">
        <v>197</v>
      </c>
      <c r="E544" s="821" t="s">
        <v>198</v>
      </c>
      <c r="F544" s="821" t="s">
        <v>199</v>
      </c>
      <c r="G544" s="821" t="s">
        <v>200</v>
      </c>
      <c r="H544" s="821" t="s">
        <v>42</v>
      </c>
      <c r="I544" s="693" t="s">
        <v>201</v>
      </c>
      <c r="J544" s="693" t="s">
        <v>58</v>
      </c>
      <c r="K544" s="693" t="s">
        <v>202</v>
      </c>
      <c r="L544" s="818" t="s">
        <v>25</v>
      </c>
      <c r="M544" s="818" t="s">
        <v>29</v>
      </c>
      <c r="N544" s="819">
        <v>524.70000000000005</v>
      </c>
      <c r="O544" s="819">
        <v>490.18200000000002</v>
      </c>
      <c r="P544" s="819">
        <v>608.9</v>
      </c>
      <c r="Q544" s="819"/>
      <c r="R544" s="819"/>
      <c r="S544" s="819"/>
      <c r="W544" s="151"/>
      <c r="X544" s="151"/>
      <c r="Y544" s="151"/>
    </row>
    <row r="545" spans="1:25" s="150" customFormat="1" ht="120.75" customHeight="1">
      <c r="A545" s="824"/>
      <c r="B545" s="567" t="s">
        <v>388</v>
      </c>
      <c r="C545" s="821" t="s">
        <v>137</v>
      </c>
      <c r="D545" s="821" t="s">
        <v>170</v>
      </c>
      <c r="E545" s="821" t="s">
        <v>203</v>
      </c>
      <c r="F545" s="821" t="s">
        <v>204</v>
      </c>
      <c r="G545" s="821" t="s">
        <v>84</v>
      </c>
      <c r="H545" s="821" t="s">
        <v>45</v>
      </c>
      <c r="I545" s="821" t="s">
        <v>623</v>
      </c>
      <c r="J545" s="821" t="s">
        <v>58</v>
      </c>
      <c r="K545" s="821" t="s">
        <v>205</v>
      </c>
      <c r="L545" s="818" t="s">
        <v>25</v>
      </c>
      <c r="M545" s="818" t="s">
        <v>29</v>
      </c>
      <c r="N545" s="819">
        <f>368</f>
        <v>368</v>
      </c>
      <c r="O545" s="819">
        <v>229.21100000000001</v>
      </c>
      <c r="P545" s="819">
        <f>447.9</f>
        <v>447.9</v>
      </c>
      <c r="Q545" s="819"/>
      <c r="R545" s="819"/>
      <c r="S545" s="819"/>
      <c r="W545" s="151"/>
      <c r="X545" s="151"/>
      <c r="Y545" s="151"/>
    </row>
    <row r="546" spans="1:25" s="150" customFormat="1" ht="156.75" customHeight="1">
      <c r="A546" s="824"/>
      <c r="B546" s="567"/>
      <c r="C546" s="663" t="s">
        <v>275</v>
      </c>
      <c r="D546" s="664" t="s">
        <v>276</v>
      </c>
      <c r="E546" s="663" t="s">
        <v>277</v>
      </c>
      <c r="F546" s="821" t="s">
        <v>206</v>
      </c>
      <c r="G546" s="821" t="s">
        <v>207</v>
      </c>
      <c r="H546" s="822" t="s">
        <v>186</v>
      </c>
      <c r="I546" s="821" t="s">
        <v>208</v>
      </c>
      <c r="J546" s="822" t="s">
        <v>58</v>
      </c>
      <c r="K546" s="822" t="s">
        <v>209</v>
      </c>
      <c r="L546" s="818"/>
      <c r="M546" s="818"/>
      <c r="N546" s="819"/>
      <c r="O546" s="819"/>
      <c r="P546" s="819"/>
      <c r="Q546" s="819"/>
      <c r="R546" s="819"/>
      <c r="S546" s="819"/>
      <c r="W546" s="151"/>
      <c r="X546" s="151"/>
      <c r="Y546" s="151"/>
    </row>
    <row r="547" spans="1:25" s="150" customFormat="1" ht="217.5" customHeight="1">
      <c r="A547" s="824"/>
      <c r="B547" s="567" t="s">
        <v>1130</v>
      </c>
      <c r="C547" s="821" t="s">
        <v>498</v>
      </c>
      <c r="D547" s="821" t="s">
        <v>499</v>
      </c>
      <c r="E547" s="821" t="s">
        <v>500</v>
      </c>
      <c r="F547" s="693" t="s">
        <v>215</v>
      </c>
      <c r="G547" s="693" t="s">
        <v>216</v>
      </c>
      <c r="H547" s="694" t="s">
        <v>1254</v>
      </c>
      <c r="I547" s="693" t="s">
        <v>426</v>
      </c>
      <c r="J547" s="694" t="s">
        <v>217</v>
      </c>
      <c r="K547" s="825" t="s">
        <v>218</v>
      </c>
      <c r="L547" s="818" t="s">
        <v>25</v>
      </c>
      <c r="M547" s="818" t="s">
        <v>29</v>
      </c>
      <c r="N547" s="819">
        <v>9.5660000000000007</v>
      </c>
      <c r="O547" s="819">
        <v>9.5660000000000007</v>
      </c>
      <c r="P547" s="819">
        <v>11.04491</v>
      </c>
      <c r="Q547" s="819"/>
      <c r="R547" s="819"/>
      <c r="S547" s="819"/>
      <c r="W547" s="151"/>
      <c r="X547" s="151"/>
      <c r="Y547" s="151"/>
    </row>
    <row r="548" spans="1:25" s="150" customFormat="1" ht="180" customHeight="1">
      <c r="A548" s="824"/>
      <c r="B548" s="567" t="s">
        <v>389</v>
      </c>
      <c r="C548" s="821" t="s">
        <v>221</v>
      </c>
      <c r="D548" s="821" t="s">
        <v>222</v>
      </c>
      <c r="E548" s="822" t="s">
        <v>223</v>
      </c>
      <c r="F548" s="821" t="s">
        <v>224</v>
      </c>
      <c r="G548" s="821" t="s">
        <v>425</v>
      </c>
      <c r="H548" s="821" t="s">
        <v>1255</v>
      </c>
      <c r="I548" s="821" t="s">
        <v>466</v>
      </c>
      <c r="J548" s="826" t="s">
        <v>163</v>
      </c>
      <c r="K548" s="826" t="s">
        <v>225</v>
      </c>
      <c r="L548" s="818" t="s">
        <v>25</v>
      </c>
      <c r="M548" s="818" t="s">
        <v>29</v>
      </c>
      <c r="N548" s="819">
        <v>38.536000000000001</v>
      </c>
      <c r="O548" s="819">
        <v>38.536000000000001</v>
      </c>
      <c r="P548" s="819">
        <v>44.331000000000003</v>
      </c>
      <c r="Q548" s="819"/>
      <c r="R548" s="819"/>
      <c r="S548" s="819"/>
      <c r="W548" s="151"/>
      <c r="X548" s="151"/>
      <c r="Y548" s="151"/>
    </row>
    <row r="549" spans="1:25" s="150" customFormat="1" ht="96.75" customHeight="1">
      <c r="A549" s="824"/>
      <c r="B549" s="567" t="s">
        <v>390</v>
      </c>
      <c r="C549" s="788" t="s">
        <v>1257</v>
      </c>
      <c r="D549" s="789" t="s">
        <v>1258</v>
      </c>
      <c r="E549" s="789" t="s">
        <v>465</v>
      </c>
      <c r="F549" s="789" t="s">
        <v>210</v>
      </c>
      <c r="G549" s="789" t="s">
        <v>183</v>
      </c>
      <c r="H549" s="789" t="s">
        <v>1256</v>
      </c>
      <c r="I549" s="827" t="s">
        <v>211</v>
      </c>
      <c r="J549" s="827" t="s">
        <v>48</v>
      </c>
      <c r="K549" s="828" t="s">
        <v>212</v>
      </c>
      <c r="L549" s="818" t="s">
        <v>29</v>
      </c>
      <c r="M549" s="818" t="s">
        <v>25</v>
      </c>
      <c r="N549" s="819">
        <v>58.5</v>
      </c>
      <c r="O549" s="819">
        <v>37.159999999999997</v>
      </c>
      <c r="P549" s="819">
        <v>67.77</v>
      </c>
      <c r="Q549" s="819"/>
      <c r="R549" s="819"/>
      <c r="S549" s="819"/>
      <c r="W549" s="151"/>
      <c r="X549" s="151"/>
      <c r="Y549" s="151"/>
    </row>
    <row r="550" spans="1:25" s="150" customFormat="1" ht="128.25" customHeight="1">
      <c r="A550" s="824"/>
      <c r="B550" s="567" t="s">
        <v>408</v>
      </c>
      <c r="C550" s="539" t="s">
        <v>270</v>
      </c>
      <c r="D550" s="539" t="s">
        <v>1259</v>
      </c>
      <c r="E550" s="539" t="s">
        <v>272</v>
      </c>
      <c r="F550" s="539" t="s">
        <v>273</v>
      </c>
      <c r="G550" s="539" t="s">
        <v>274</v>
      </c>
      <c r="H550" s="539" t="s">
        <v>42</v>
      </c>
      <c r="I550" s="539" t="s">
        <v>598</v>
      </c>
      <c r="J550" s="829" t="s">
        <v>50</v>
      </c>
      <c r="K550" s="829" t="s">
        <v>267</v>
      </c>
      <c r="L550" s="818" t="s">
        <v>29</v>
      </c>
      <c r="M550" s="818" t="s">
        <v>27</v>
      </c>
      <c r="N550" s="819">
        <v>670.298</v>
      </c>
      <c r="O550" s="819">
        <v>548.53599999999994</v>
      </c>
      <c r="P550" s="819">
        <v>792.3</v>
      </c>
      <c r="Q550" s="819"/>
      <c r="R550" s="819"/>
      <c r="S550" s="819"/>
      <c r="W550" s="151"/>
      <c r="X550" s="151"/>
      <c r="Y550" s="151"/>
    </row>
    <row r="551" spans="1:25" s="150" customFormat="1" ht="97.5" customHeight="1">
      <c r="A551" s="824"/>
      <c r="B551" s="567" t="s">
        <v>409</v>
      </c>
      <c r="C551" s="661" t="s">
        <v>1261</v>
      </c>
      <c r="D551" s="661" t="s">
        <v>1262</v>
      </c>
      <c r="E551" s="662" t="s">
        <v>1263</v>
      </c>
      <c r="F551" s="661" t="s">
        <v>1264</v>
      </c>
      <c r="G551" s="661" t="s">
        <v>410</v>
      </c>
      <c r="H551" s="661" t="s">
        <v>406</v>
      </c>
      <c r="I551" s="661" t="s">
        <v>407</v>
      </c>
      <c r="J551" s="662" t="s">
        <v>58</v>
      </c>
      <c r="K551" s="662" t="s">
        <v>214</v>
      </c>
      <c r="L551" s="818" t="s">
        <v>29</v>
      </c>
      <c r="M551" s="818" t="s">
        <v>27</v>
      </c>
      <c r="N551" s="819">
        <v>15.03</v>
      </c>
      <c r="O551" s="819">
        <v>15.03</v>
      </c>
      <c r="P551" s="819">
        <v>17.28</v>
      </c>
      <c r="Q551" s="819"/>
      <c r="R551" s="819"/>
      <c r="S551" s="819"/>
      <c r="W551" s="151"/>
      <c r="X551" s="151"/>
      <c r="Y551" s="151"/>
    </row>
    <row r="552" spans="1:25" s="9" customFormat="1" ht="131.25" customHeight="1">
      <c r="A552" s="267"/>
      <c r="B552" s="820" t="s">
        <v>448</v>
      </c>
      <c r="C552" s="821" t="s">
        <v>137</v>
      </c>
      <c r="D552" s="821" t="s">
        <v>170</v>
      </c>
      <c r="E552" s="821" t="s">
        <v>203</v>
      </c>
      <c r="F552" s="821" t="s">
        <v>204</v>
      </c>
      <c r="G552" s="821" t="s">
        <v>84</v>
      </c>
      <c r="H552" s="821" t="s">
        <v>45</v>
      </c>
      <c r="I552" s="821" t="s">
        <v>623</v>
      </c>
      <c r="J552" s="821" t="s">
        <v>58</v>
      </c>
      <c r="K552" s="821" t="s">
        <v>205</v>
      </c>
      <c r="L552" s="830" t="s">
        <v>25</v>
      </c>
      <c r="M552" s="818" t="s">
        <v>29</v>
      </c>
      <c r="N552" s="819">
        <v>3604.8870000000002</v>
      </c>
      <c r="O552" s="819">
        <v>3144.7939999999999</v>
      </c>
      <c r="P552" s="819">
        <v>4158</v>
      </c>
      <c r="Q552" s="819"/>
      <c r="R552" s="819"/>
      <c r="S552" s="819"/>
      <c r="W552" s="33"/>
      <c r="X552" s="33"/>
      <c r="Y552" s="33"/>
    </row>
    <row r="553" spans="1:25" s="150" customFormat="1" ht="216" customHeight="1">
      <c r="A553" s="729"/>
      <c r="B553" s="837" t="s">
        <v>1128</v>
      </c>
      <c r="C553" s="838" t="s">
        <v>137</v>
      </c>
      <c r="D553" s="838" t="s">
        <v>170</v>
      </c>
      <c r="E553" s="838" t="s">
        <v>139</v>
      </c>
      <c r="F553" s="838" t="s">
        <v>1265</v>
      </c>
      <c r="G553" s="838" t="s">
        <v>172</v>
      </c>
      <c r="H553" s="838" t="s">
        <v>45</v>
      </c>
      <c r="I553" s="838" t="s">
        <v>623</v>
      </c>
      <c r="J553" s="838" t="s">
        <v>58</v>
      </c>
      <c r="K553" s="838" t="s">
        <v>175</v>
      </c>
      <c r="L553" s="839" t="s">
        <v>16</v>
      </c>
      <c r="M553" s="839" t="s">
        <v>26</v>
      </c>
      <c r="N553" s="840">
        <v>7.1219999999999999</v>
      </c>
      <c r="O553" s="1544">
        <v>7.0030000000000001</v>
      </c>
      <c r="P553" s="840">
        <v>8.298</v>
      </c>
      <c r="Q553" s="840"/>
      <c r="R553" s="840"/>
      <c r="S553" s="840"/>
      <c r="W553" s="151"/>
      <c r="X553" s="151"/>
      <c r="Y553" s="151"/>
    </row>
    <row r="554" spans="1:25" s="9" customFormat="1" ht="131.25" customHeight="1">
      <c r="A554" s="2" t="s">
        <v>914</v>
      </c>
      <c r="B554" s="567" t="s">
        <v>609</v>
      </c>
      <c r="C554" s="693" t="s">
        <v>157</v>
      </c>
      <c r="D554" s="693" t="s">
        <v>416</v>
      </c>
      <c r="E554" s="693" t="s">
        <v>158</v>
      </c>
      <c r="F554" s="693" t="s">
        <v>159</v>
      </c>
      <c r="G554" s="693" t="s">
        <v>417</v>
      </c>
      <c r="H554" s="693" t="s">
        <v>1414</v>
      </c>
      <c r="I554" s="693" t="s">
        <v>1252</v>
      </c>
      <c r="J554" s="693" t="s">
        <v>161</v>
      </c>
      <c r="K554" s="693" t="s">
        <v>162</v>
      </c>
      <c r="L554" s="567" t="s">
        <v>25</v>
      </c>
      <c r="M554" s="567" t="s">
        <v>19</v>
      </c>
      <c r="N554" s="568">
        <v>1153.8</v>
      </c>
      <c r="O554" s="568">
        <v>1153.8</v>
      </c>
      <c r="P554" s="568">
        <v>1326.9</v>
      </c>
      <c r="Q554" s="568"/>
      <c r="R554" s="568"/>
      <c r="S554" s="568"/>
      <c r="W554" s="33"/>
      <c r="X554" s="33"/>
      <c r="Y554" s="33"/>
    </row>
    <row r="555" spans="1:25" s="9" customFormat="1" ht="126.75" customHeight="1">
      <c r="A555" s="128" t="s">
        <v>1266</v>
      </c>
      <c r="B555" s="307" t="s">
        <v>1540</v>
      </c>
      <c r="C555" s="841" t="s">
        <v>270</v>
      </c>
      <c r="D555" s="841" t="s">
        <v>271</v>
      </c>
      <c r="E555" s="841" t="s">
        <v>87</v>
      </c>
      <c r="F555" s="1616" t="s">
        <v>273</v>
      </c>
      <c r="G555" s="1616" t="s">
        <v>274</v>
      </c>
      <c r="H555" s="1616" t="s">
        <v>1415</v>
      </c>
      <c r="I555" s="1616" t="s">
        <v>598</v>
      </c>
      <c r="J555" s="1618" t="s">
        <v>50</v>
      </c>
      <c r="K555" s="1618" t="s">
        <v>267</v>
      </c>
      <c r="L555" s="307" t="s">
        <v>29</v>
      </c>
      <c r="M555" s="307" t="s">
        <v>27</v>
      </c>
      <c r="N555" s="292">
        <f>6731.091+2110.48+1931.951+2038.057</f>
        <v>12811.579000000002</v>
      </c>
      <c r="O555" s="637">
        <f>6731.091+2110.48+1903.15+2031.057</f>
        <v>12775.778</v>
      </c>
      <c r="P555" s="292">
        <f>1290.62146+5932.8+195</f>
        <v>7418.4214600000005</v>
      </c>
      <c r="Q555" s="292"/>
      <c r="R555" s="292"/>
      <c r="S555" s="292"/>
      <c r="W555" s="33"/>
      <c r="X555" s="33"/>
      <c r="Y555" s="33"/>
    </row>
    <row r="556" spans="1:25" s="9" customFormat="1" ht="53.25" hidden="1" customHeight="1">
      <c r="A556" s="657"/>
      <c r="B556" s="52"/>
      <c r="C556" s="343" t="s">
        <v>263</v>
      </c>
      <c r="D556" s="343" t="s">
        <v>48</v>
      </c>
      <c r="E556" s="343" t="s">
        <v>264</v>
      </c>
      <c r="F556" s="1617"/>
      <c r="G556" s="1617"/>
      <c r="H556" s="1617"/>
      <c r="I556" s="1617"/>
      <c r="J556" s="1619"/>
      <c r="K556" s="1619"/>
      <c r="L556" s="52"/>
      <c r="M556" s="52"/>
      <c r="N556" s="842"/>
      <c r="O556" s="1532"/>
      <c r="P556" s="842"/>
      <c r="Q556" s="842"/>
      <c r="R556" s="842"/>
      <c r="S556" s="842"/>
      <c r="W556" s="33"/>
      <c r="X556" s="33"/>
      <c r="Y556" s="33"/>
    </row>
    <row r="557" spans="1:25" s="9" customFormat="1" ht="53.25" hidden="1" customHeight="1">
      <c r="A557" s="771" t="s">
        <v>479</v>
      </c>
      <c r="B557" s="47">
        <v>1807</v>
      </c>
      <c r="C557" s="539" t="s">
        <v>270</v>
      </c>
      <c r="D557" s="539" t="s">
        <v>607</v>
      </c>
      <c r="E557" s="539" t="s">
        <v>272</v>
      </c>
      <c r="F557" s="1596"/>
      <c r="G557" s="1596"/>
      <c r="H557" s="1596"/>
      <c r="I557" s="1596"/>
      <c r="J557" s="1620"/>
      <c r="K557" s="1620"/>
      <c r="L557" s="47" t="s">
        <v>29</v>
      </c>
      <c r="M557" s="47" t="s">
        <v>27</v>
      </c>
      <c r="N557" s="843"/>
      <c r="O557" s="1507"/>
      <c r="P557" s="843"/>
      <c r="Q557" s="843"/>
      <c r="R557" s="843"/>
      <c r="S557" s="843"/>
      <c r="W557" s="33"/>
      <c r="X557" s="33"/>
      <c r="Y557" s="33"/>
    </row>
    <row r="558" spans="1:25" s="9" customFormat="1" ht="53.25" hidden="1" customHeight="1">
      <c r="A558" s="664" t="s">
        <v>370</v>
      </c>
      <c r="B558" s="663" t="s">
        <v>371</v>
      </c>
      <c r="C558" s="661" t="s">
        <v>137</v>
      </c>
      <c r="D558" s="661" t="s">
        <v>170</v>
      </c>
      <c r="E558" s="661" t="s">
        <v>139</v>
      </c>
      <c r="F558" s="661" t="s">
        <v>171</v>
      </c>
      <c r="G558" s="661" t="s">
        <v>172</v>
      </c>
      <c r="H558" s="661" t="s">
        <v>173</v>
      </c>
      <c r="I558" s="661" t="s">
        <v>174</v>
      </c>
      <c r="J558" s="661" t="s">
        <v>58</v>
      </c>
      <c r="K558" s="661" t="s">
        <v>175</v>
      </c>
      <c r="L558" s="47" t="s">
        <v>16</v>
      </c>
      <c r="M558" s="47" t="s">
        <v>26</v>
      </c>
      <c r="N558" s="314"/>
      <c r="O558" s="519"/>
      <c r="P558" s="314"/>
      <c r="Q558" s="314"/>
      <c r="R558" s="314"/>
      <c r="S558" s="314"/>
      <c r="W558" s="33"/>
      <c r="X558" s="33"/>
      <c r="Y558" s="33"/>
    </row>
    <row r="559" spans="1:25" s="9" customFormat="1" ht="222.75" customHeight="1">
      <c r="A559" s="844" t="s">
        <v>1267</v>
      </c>
      <c r="B559" s="1457" t="s">
        <v>1499</v>
      </c>
      <c r="C559" s="1450" t="s">
        <v>258</v>
      </c>
      <c r="D559" s="845" t="s">
        <v>170</v>
      </c>
      <c r="E559" s="846" t="s">
        <v>185</v>
      </c>
      <c r="F559" s="846" t="s">
        <v>1265</v>
      </c>
      <c r="G559" s="846" t="s">
        <v>172</v>
      </c>
      <c r="H559" s="846" t="s">
        <v>45</v>
      </c>
      <c r="I559" s="846" t="s">
        <v>624</v>
      </c>
      <c r="J559" s="539" t="s">
        <v>48</v>
      </c>
      <c r="K559" s="539" t="s">
        <v>322</v>
      </c>
      <c r="L559" s="847" t="s">
        <v>16</v>
      </c>
      <c r="M559" s="847" t="s">
        <v>29</v>
      </c>
      <c r="N559" s="848">
        <v>0</v>
      </c>
      <c r="O559" s="967">
        <v>0</v>
      </c>
      <c r="P559" s="848">
        <f>0+4555.4-4555.4</f>
        <v>0</v>
      </c>
      <c r="Q559" s="848"/>
      <c r="R559" s="848"/>
      <c r="S559" s="848"/>
      <c r="W559" s="33"/>
      <c r="X559" s="33"/>
      <c r="Y559" s="33"/>
    </row>
    <row r="560" spans="1:25" s="9" customFormat="1" ht="168">
      <c r="A560" s="1587" t="s">
        <v>1273</v>
      </c>
      <c r="B560" s="849" t="s">
        <v>1561</v>
      </c>
      <c r="C560" s="1450" t="s">
        <v>1268</v>
      </c>
      <c r="D560" s="850" t="s">
        <v>183</v>
      </c>
      <c r="E560" s="1450" t="s">
        <v>1416</v>
      </c>
      <c r="F560" s="851" t="s">
        <v>178</v>
      </c>
      <c r="G560" s="851" t="s">
        <v>405</v>
      </c>
      <c r="H560" s="852" t="s">
        <v>1269</v>
      </c>
      <c r="I560" s="1448" t="s">
        <v>442</v>
      </c>
      <c r="J560" s="685" t="s">
        <v>187</v>
      </c>
      <c r="K560" s="800" t="s">
        <v>188</v>
      </c>
      <c r="L560" s="663" t="s">
        <v>33</v>
      </c>
      <c r="M560" s="663" t="s">
        <v>28</v>
      </c>
      <c r="N560" s="756">
        <v>1926.1</v>
      </c>
      <c r="O560" s="1507">
        <v>1264.31</v>
      </c>
      <c r="P560" s="756">
        <v>2020.4</v>
      </c>
      <c r="Q560" s="756"/>
      <c r="R560" s="756"/>
      <c r="S560" s="756"/>
      <c r="W560" s="33"/>
      <c r="X560" s="33"/>
      <c r="Y560" s="33"/>
    </row>
    <row r="561" spans="1:25" s="9" customFormat="1" ht="111.75" customHeight="1">
      <c r="A561" s="1693"/>
      <c r="B561" s="853" t="s">
        <v>1500</v>
      </c>
      <c r="C561" s="1455" t="s">
        <v>176</v>
      </c>
      <c r="D561" s="1494" t="s">
        <v>1417</v>
      </c>
      <c r="E561" s="1455" t="s">
        <v>1418</v>
      </c>
      <c r="F561" s="854" t="s">
        <v>1426</v>
      </c>
      <c r="G561" s="855" t="s">
        <v>1424</v>
      </c>
      <c r="H561" s="856" t="s">
        <v>1425</v>
      </c>
      <c r="I561" s="857" t="s">
        <v>625</v>
      </c>
      <c r="J561" s="858" t="s">
        <v>180</v>
      </c>
      <c r="K561" s="859" t="s">
        <v>181</v>
      </c>
      <c r="L561" s="663" t="s">
        <v>16</v>
      </c>
      <c r="M561" s="663" t="s">
        <v>29</v>
      </c>
      <c r="N561" s="756">
        <f>22813.3+13852.8+98+123</f>
        <v>36887.1</v>
      </c>
      <c r="O561" s="1507">
        <f>18931.359+13297.709+89.18696</f>
        <v>32318.254959999998</v>
      </c>
      <c r="P561" s="756">
        <f>121+26623.3+17299.2+92.4+4555.4-4555.4-23.9</f>
        <v>44112</v>
      </c>
      <c r="Q561" s="756"/>
      <c r="R561" s="756"/>
      <c r="S561" s="756"/>
      <c r="W561" s="33"/>
      <c r="X561" s="33"/>
      <c r="Y561" s="33"/>
    </row>
    <row r="562" spans="1:25" s="9" customFormat="1" ht="84">
      <c r="A562" s="1469"/>
      <c r="B562" s="853"/>
      <c r="C562" s="1455"/>
      <c r="D562" s="1494"/>
      <c r="E562" s="1455"/>
      <c r="F562" s="1453" t="s">
        <v>1427</v>
      </c>
      <c r="G562" s="1453" t="s">
        <v>1422</v>
      </c>
      <c r="H562" s="1455" t="s">
        <v>1423</v>
      </c>
      <c r="I562" s="1455"/>
      <c r="J562" s="1456"/>
      <c r="K562" s="860"/>
      <c r="L562" s="861"/>
      <c r="M562" s="861"/>
      <c r="N562" s="862"/>
      <c r="O562" s="862"/>
      <c r="P562" s="862"/>
      <c r="Q562" s="862"/>
      <c r="R562" s="862"/>
      <c r="S562" s="862"/>
      <c r="W562" s="33"/>
      <c r="X562" s="33"/>
      <c r="Y562" s="33"/>
    </row>
    <row r="563" spans="1:25" s="9" customFormat="1" ht="144">
      <c r="A563" s="863"/>
      <c r="B563" s="864"/>
      <c r="C563" s="66"/>
      <c r="D563" s="865"/>
      <c r="E563" s="66"/>
      <c r="F563" s="1454" t="s">
        <v>1421</v>
      </c>
      <c r="G563" s="1453" t="s">
        <v>1420</v>
      </c>
      <c r="H563" s="1455" t="s">
        <v>1419</v>
      </c>
      <c r="I563" s="1455"/>
      <c r="J563" s="1456"/>
      <c r="K563" s="860"/>
      <c r="L563" s="861"/>
      <c r="M563" s="861"/>
      <c r="N563" s="862"/>
      <c r="O563" s="862"/>
      <c r="P563" s="862"/>
      <c r="Q563" s="862"/>
      <c r="R563" s="862"/>
      <c r="S563" s="862"/>
      <c r="W563" s="33"/>
      <c r="X563" s="33"/>
      <c r="Y563" s="33"/>
    </row>
    <row r="564" spans="1:25" s="9" customFormat="1" ht="144">
      <c r="A564" s="215" t="s">
        <v>1274</v>
      </c>
      <c r="B564" s="1431" t="s">
        <v>1129</v>
      </c>
      <c r="C564" s="866" t="s">
        <v>1261</v>
      </c>
      <c r="D564" s="1386" t="s">
        <v>1262</v>
      </c>
      <c r="E564" s="867" t="s">
        <v>1263</v>
      </c>
      <c r="F564" s="1386" t="s">
        <v>1264</v>
      </c>
      <c r="G564" s="693" t="s">
        <v>193</v>
      </c>
      <c r="H564" s="693" t="s">
        <v>406</v>
      </c>
      <c r="I564" s="230" t="s">
        <v>213</v>
      </c>
      <c r="J564" s="230" t="s">
        <v>48</v>
      </c>
      <c r="K564" s="231" t="s">
        <v>214</v>
      </c>
      <c r="L564" s="663" t="s">
        <v>29</v>
      </c>
      <c r="M564" s="663" t="s">
        <v>27</v>
      </c>
      <c r="N564" s="756">
        <v>1588.5</v>
      </c>
      <c r="O564" s="1507">
        <v>1588.24</v>
      </c>
      <c r="P564" s="756">
        <v>1681.6</v>
      </c>
      <c r="Q564" s="756"/>
      <c r="R564" s="756"/>
      <c r="S564" s="756"/>
      <c r="W564" s="33"/>
      <c r="X564" s="33"/>
      <c r="Y564" s="33"/>
    </row>
    <row r="565" spans="1:25" s="9" customFormat="1" ht="36.75" customHeight="1">
      <c r="A565" s="1687" t="s">
        <v>1501</v>
      </c>
      <c r="B565" s="868" t="s">
        <v>434</v>
      </c>
      <c r="C565" s="1621" t="s">
        <v>1428</v>
      </c>
      <c r="D565" s="1621" t="s">
        <v>167</v>
      </c>
      <c r="E565" s="1621" t="s">
        <v>166</v>
      </c>
      <c r="F565" s="1621" t="s">
        <v>1270</v>
      </c>
      <c r="G565" s="1621" t="s">
        <v>168</v>
      </c>
      <c r="H565" s="1621" t="s">
        <v>1271</v>
      </c>
      <c r="I565" s="1695" t="s">
        <v>1272</v>
      </c>
      <c r="J565" s="1695" t="s">
        <v>52</v>
      </c>
      <c r="K565" s="1698" t="s">
        <v>169</v>
      </c>
      <c r="L565" s="869" t="s">
        <v>33</v>
      </c>
      <c r="M565" s="870" t="s">
        <v>25</v>
      </c>
      <c r="N565" s="848">
        <f>554.8+398.412</f>
        <v>953.21199999999999</v>
      </c>
      <c r="O565" s="967">
        <f>554.8+398.412</f>
        <v>953.21199999999999</v>
      </c>
      <c r="P565" s="848">
        <f>942.796+21</f>
        <v>963.79600000000005</v>
      </c>
      <c r="Q565" s="848"/>
      <c r="R565" s="848"/>
      <c r="S565" s="848"/>
      <c r="W565" s="33"/>
      <c r="X565" s="33"/>
      <c r="Y565" s="33"/>
    </row>
    <row r="566" spans="1:25" s="9" customFormat="1" ht="48" customHeight="1">
      <c r="A566" s="1681"/>
      <c r="B566" s="487" t="s">
        <v>1541</v>
      </c>
      <c r="C566" s="1691"/>
      <c r="D566" s="1691"/>
      <c r="E566" s="1691"/>
      <c r="F566" s="1691"/>
      <c r="G566" s="1691"/>
      <c r="H566" s="1691"/>
      <c r="I566" s="1696"/>
      <c r="J566" s="1696"/>
      <c r="K566" s="1699"/>
      <c r="L566" s="871" t="s">
        <v>33</v>
      </c>
      <c r="M566" s="847" t="s">
        <v>28</v>
      </c>
      <c r="N566" s="756">
        <v>776.072</v>
      </c>
      <c r="O566" s="1507">
        <v>775.99199999999996</v>
      </c>
      <c r="P566" s="756">
        <v>705.76</v>
      </c>
      <c r="Q566" s="756"/>
      <c r="R566" s="756"/>
      <c r="S566" s="756"/>
      <c r="W566" s="33"/>
      <c r="X566" s="33"/>
      <c r="Y566" s="33"/>
    </row>
    <row r="567" spans="1:25" s="9" customFormat="1" ht="52.5" customHeight="1">
      <c r="A567" s="1694"/>
      <c r="B567" s="872"/>
      <c r="C567" s="1692"/>
      <c r="D567" s="1692"/>
      <c r="E567" s="1692"/>
      <c r="F567" s="1692"/>
      <c r="G567" s="1692"/>
      <c r="H567" s="1692"/>
      <c r="I567" s="1697"/>
      <c r="J567" s="1697"/>
      <c r="K567" s="1700"/>
      <c r="L567" s="871" t="s">
        <v>33</v>
      </c>
      <c r="M567" s="847" t="s">
        <v>32</v>
      </c>
      <c r="N567" s="756">
        <v>75.516000000000005</v>
      </c>
      <c r="O567" s="1507">
        <v>74.936999999999998</v>
      </c>
      <c r="P567" s="756">
        <v>93.744</v>
      </c>
      <c r="Q567" s="756"/>
      <c r="R567" s="756"/>
      <c r="S567" s="756"/>
      <c r="W567" s="33"/>
      <c r="X567" s="33"/>
      <c r="Y567" s="33"/>
    </row>
    <row r="568" spans="1:25" s="9" customFormat="1" ht="132">
      <c r="A568" s="118" t="s">
        <v>1275</v>
      </c>
      <c r="B568" s="50" t="s">
        <v>1560</v>
      </c>
      <c r="C568" s="693" t="s">
        <v>1429</v>
      </c>
      <c r="D568" s="693" t="s">
        <v>182</v>
      </c>
      <c r="E568" s="693" t="s">
        <v>166</v>
      </c>
      <c r="F568" s="693" t="s">
        <v>1276</v>
      </c>
      <c r="G568" s="693" t="s">
        <v>183</v>
      </c>
      <c r="H568" s="693" t="s">
        <v>1256</v>
      </c>
      <c r="I568" s="230" t="s">
        <v>619</v>
      </c>
      <c r="J568" s="230" t="s">
        <v>48</v>
      </c>
      <c r="K568" s="231" t="s">
        <v>184</v>
      </c>
      <c r="L568" s="873" t="s">
        <v>33</v>
      </c>
      <c r="M568" s="874" t="s">
        <v>28</v>
      </c>
      <c r="N568" s="875">
        <v>200.7</v>
      </c>
      <c r="O568" s="1507">
        <v>146.55099999999999</v>
      </c>
      <c r="P568" s="875">
        <v>156.30000000000001</v>
      </c>
      <c r="Q568" s="875"/>
      <c r="R568" s="875"/>
      <c r="S568" s="875"/>
      <c r="W568" s="33"/>
      <c r="X568" s="33"/>
      <c r="Y568" s="33"/>
    </row>
    <row r="569" spans="1:25" s="18" customFormat="1" ht="60.75" customHeight="1">
      <c r="A569" s="357" t="s">
        <v>537</v>
      </c>
      <c r="B569" s="537">
        <v>2000</v>
      </c>
      <c r="C569" s="876"/>
      <c r="D569" s="876"/>
      <c r="E569" s="877"/>
      <c r="F569" s="876"/>
      <c r="G569" s="876"/>
      <c r="H569" s="876"/>
      <c r="I569" s="876"/>
      <c r="J569" s="878"/>
      <c r="K569" s="878"/>
      <c r="L569" s="57"/>
      <c r="M569" s="57"/>
      <c r="N569" s="328">
        <f>SUM(N570:N575)</f>
        <v>852685.4</v>
      </c>
      <c r="O569" s="1509">
        <f>SUM(O570:O575)</f>
        <v>852633.86800000002</v>
      </c>
      <c r="P569" s="328">
        <f t="shared" ref="P569" si="105">SUM(P570:P575)</f>
        <v>884342.9</v>
      </c>
      <c r="Q569" s="328">
        <f t="shared" ref="Q569:R569" si="106">SUM(Q570:Q575)</f>
        <v>0</v>
      </c>
      <c r="R569" s="328">
        <f t="shared" si="106"/>
        <v>0</v>
      </c>
      <c r="S569" s="328">
        <f t="shared" ref="S569" si="107">SUM(S570:S575)</f>
        <v>0</v>
      </c>
      <c r="W569" s="19"/>
      <c r="X569" s="19"/>
      <c r="Y569" s="19"/>
    </row>
    <row r="570" spans="1:25" s="18" customFormat="1" ht="51" customHeight="1">
      <c r="A570" s="1583" t="s">
        <v>480</v>
      </c>
      <c r="B570" s="861" t="s">
        <v>1542</v>
      </c>
      <c r="C570" s="846" t="s">
        <v>1428</v>
      </c>
      <c r="D570" s="846" t="s">
        <v>138</v>
      </c>
      <c r="E570" s="846" t="s">
        <v>166</v>
      </c>
      <c r="F570" s="1356" t="s">
        <v>1280</v>
      </c>
      <c r="G570" s="1357" t="s">
        <v>1281</v>
      </c>
      <c r="H570" s="1357" t="s">
        <v>1256</v>
      </c>
      <c r="I570" s="1598" t="s">
        <v>1004</v>
      </c>
      <c r="J570" s="821" t="s">
        <v>48</v>
      </c>
      <c r="K570" s="1251" t="s">
        <v>433</v>
      </c>
      <c r="L570" s="1252" t="s">
        <v>33</v>
      </c>
      <c r="M570" s="1252" t="s">
        <v>28</v>
      </c>
      <c r="N570" s="862">
        <v>365342.7</v>
      </c>
      <c r="O570" s="862">
        <v>365342.7</v>
      </c>
      <c r="P570" s="862">
        <v>382735.47</v>
      </c>
      <c r="Q570" s="862"/>
      <c r="R570" s="862"/>
      <c r="S570" s="862"/>
      <c r="T570" s="881"/>
      <c r="W570" s="19"/>
      <c r="X570" s="19"/>
      <c r="Y570" s="19"/>
    </row>
    <row r="571" spans="1:25" s="18" customFormat="1" ht="22.5" customHeight="1">
      <c r="A571" s="1580"/>
      <c r="B571" s="1393"/>
      <c r="C571" s="1383"/>
      <c r="D571" s="1383"/>
      <c r="E571" s="1383"/>
      <c r="F571" s="1600" t="s">
        <v>1283</v>
      </c>
      <c r="G571" s="1383"/>
      <c r="H571" s="1383"/>
      <c r="I571" s="1599"/>
      <c r="J571" s="1451"/>
      <c r="K571" s="860"/>
      <c r="L571" s="211"/>
      <c r="M571" s="211"/>
      <c r="N571" s="213"/>
      <c r="O571" s="213"/>
      <c r="P571" s="213"/>
      <c r="Q571" s="213"/>
      <c r="R571" s="213"/>
      <c r="S571" s="213"/>
      <c r="T571" s="881"/>
      <c r="W571" s="19"/>
      <c r="X571" s="19"/>
      <c r="Y571" s="19"/>
    </row>
    <row r="572" spans="1:25" s="18" customFormat="1" ht="310.5" customHeight="1">
      <c r="A572" s="1584"/>
      <c r="B572" s="1429"/>
      <c r="C572" s="1358"/>
      <c r="D572" s="1358"/>
      <c r="E572" s="1358"/>
      <c r="F572" s="1601"/>
      <c r="G572" s="1358" t="s">
        <v>48</v>
      </c>
      <c r="H572" s="1358" t="s">
        <v>1282</v>
      </c>
      <c r="I572" s="882" t="s">
        <v>1279</v>
      </c>
      <c r="J572" s="1255"/>
      <c r="K572" s="1256"/>
      <c r="L572" s="1253"/>
      <c r="M572" s="1253"/>
      <c r="N572" s="1257"/>
      <c r="O572" s="1257"/>
      <c r="P572" s="1257"/>
      <c r="Q572" s="1257"/>
      <c r="R572" s="1257"/>
      <c r="S572" s="1257"/>
      <c r="T572" s="881"/>
      <c r="W572" s="19"/>
      <c r="X572" s="19"/>
      <c r="Y572" s="19"/>
    </row>
    <row r="573" spans="1:25" s="18" customFormat="1" ht="150" customHeight="1">
      <c r="A573" s="1687" t="s">
        <v>481</v>
      </c>
      <c r="B573" s="1668" t="s">
        <v>1543</v>
      </c>
      <c r="C573" s="469"/>
      <c r="D573" s="469"/>
      <c r="E573" s="469"/>
      <c r="F573" s="1602" t="s">
        <v>1284</v>
      </c>
      <c r="G573" s="138" t="s">
        <v>48</v>
      </c>
      <c r="H573" s="883">
        <v>43410</v>
      </c>
      <c r="I573" s="884" t="s">
        <v>1054</v>
      </c>
      <c r="J573" s="655" t="s">
        <v>48</v>
      </c>
      <c r="K573" s="817" t="s">
        <v>262</v>
      </c>
      <c r="L573" s="885" t="s">
        <v>33</v>
      </c>
      <c r="M573" s="886" t="s">
        <v>28</v>
      </c>
      <c r="N573" s="887">
        <v>325908.09999999998</v>
      </c>
      <c r="O573" s="1507">
        <v>325856.56800000003</v>
      </c>
      <c r="P573" s="887">
        <v>337580.03</v>
      </c>
      <c r="Q573" s="887"/>
      <c r="R573" s="887"/>
      <c r="S573" s="887"/>
      <c r="W573" s="19"/>
      <c r="X573" s="19"/>
      <c r="Y573" s="19"/>
    </row>
    <row r="574" spans="1:25" s="18" customFormat="1" ht="111" customHeight="1">
      <c r="A574" s="1688"/>
      <c r="B574" s="1669"/>
      <c r="C574" s="469"/>
      <c r="D574" s="469"/>
      <c r="E574" s="469"/>
      <c r="F574" s="1603"/>
      <c r="G574" s="138"/>
      <c r="H574" s="138"/>
      <c r="I574" s="882" t="s">
        <v>432</v>
      </c>
      <c r="J574" s="55" t="s">
        <v>48</v>
      </c>
      <c r="K574" s="55" t="s">
        <v>433</v>
      </c>
      <c r="L574" s="888"/>
      <c r="M574" s="889"/>
      <c r="N574" s="890"/>
      <c r="O574" s="1546"/>
      <c r="P574" s="890"/>
      <c r="Q574" s="890"/>
      <c r="R574" s="890"/>
      <c r="S574" s="890"/>
      <c r="W574" s="19"/>
      <c r="X574" s="19"/>
      <c r="Y574" s="19"/>
    </row>
    <row r="575" spans="1:25" s="9" customFormat="1" ht="215.25" customHeight="1">
      <c r="A575" s="891" t="s">
        <v>372</v>
      </c>
      <c r="B575" s="67" t="s">
        <v>1544</v>
      </c>
      <c r="C575" s="1254"/>
      <c r="D575" s="1254"/>
      <c r="E575" s="1254"/>
      <c r="F575" s="879" t="s">
        <v>1277</v>
      </c>
      <c r="G575" s="880" t="s">
        <v>183</v>
      </c>
      <c r="H575" s="880" t="s">
        <v>1278</v>
      </c>
      <c r="I575" s="892" t="s">
        <v>219</v>
      </c>
      <c r="J575" s="181" t="s">
        <v>48</v>
      </c>
      <c r="K575" s="182" t="s">
        <v>220</v>
      </c>
      <c r="L575" s="893" t="s">
        <v>33</v>
      </c>
      <c r="M575" s="459" t="s">
        <v>25</v>
      </c>
      <c r="N575" s="127">
        <v>161434.6</v>
      </c>
      <c r="O575" s="134">
        <v>161434.6</v>
      </c>
      <c r="P575" s="127">
        <f>156724.9+7302.5</f>
        <v>164027.4</v>
      </c>
      <c r="Q575" s="127"/>
      <c r="R575" s="127"/>
      <c r="S575" s="127"/>
      <c r="W575" s="33"/>
      <c r="X575" s="33"/>
      <c r="Y575" s="33"/>
    </row>
    <row r="576" spans="1:25" s="18" customFormat="1" ht="86.25" customHeight="1">
      <c r="A576" s="56" t="s">
        <v>1286</v>
      </c>
      <c r="B576" s="57">
        <v>2100</v>
      </c>
      <c r="C576" s="57" t="s">
        <v>22</v>
      </c>
      <c r="D576" s="57" t="s">
        <v>22</v>
      </c>
      <c r="E576" s="57" t="s">
        <v>22</v>
      </c>
      <c r="F576" s="57" t="s">
        <v>22</v>
      </c>
      <c r="G576" s="57" t="s">
        <v>22</v>
      </c>
      <c r="H576" s="57" t="s">
        <v>22</v>
      </c>
      <c r="I576" s="57" t="s">
        <v>22</v>
      </c>
      <c r="J576" s="57" t="s">
        <v>22</v>
      </c>
      <c r="K576" s="57" t="s">
        <v>22</v>
      </c>
      <c r="L576" s="16"/>
      <c r="M576" s="57"/>
      <c r="N576" s="328">
        <f t="shared" ref="N576:S576" si="108">N577+N582+N587</f>
        <v>469013.97700000001</v>
      </c>
      <c r="O576" s="1509">
        <f t="shared" si="108"/>
        <v>437250.01600000006</v>
      </c>
      <c r="P576" s="328">
        <f>P577+P582+P587</f>
        <v>388625.01101999998</v>
      </c>
      <c r="Q576" s="328">
        <f t="shared" si="108"/>
        <v>184791.7</v>
      </c>
      <c r="R576" s="328">
        <f t="shared" si="108"/>
        <v>133679.20000000001</v>
      </c>
      <c r="S576" s="328">
        <f t="shared" si="108"/>
        <v>132621.29999999999</v>
      </c>
      <c r="W576" s="19"/>
      <c r="X576" s="19"/>
      <c r="Y576" s="19"/>
    </row>
    <row r="577" spans="1:25" s="18" customFormat="1" ht="63" customHeight="1">
      <c r="A577" s="894" t="s">
        <v>1287</v>
      </c>
      <c r="B577" s="895">
        <v>2101</v>
      </c>
      <c r="C577" s="1258" t="s">
        <v>40</v>
      </c>
      <c r="D577" s="1259" t="s">
        <v>1285</v>
      </c>
      <c r="E577" s="1260" t="s">
        <v>1159</v>
      </c>
      <c r="F577" s="895"/>
      <c r="G577" s="895"/>
      <c r="H577" s="895"/>
      <c r="I577" s="895"/>
      <c r="J577" s="895"/>
      <c r="K577" s="895"/>
      <c r="L577" s="895"/>
      <c r="M577" s="895"/>
      <c r="N577" s="898">
        <f t="shared" ref="N577:Q577" si="109">SUM(N579:N581)</f>
        <v>61100</v>
      </c>
      <c r="O577" s="1511">
        <f t="shared" ref="O577" si="110">SUM(O579:O581)</f>
        <v>61100</v>
      </c>
      <c r="P577" s="898">
        <f>SUM(P579:P581)</f>
        <v>63928.3</v>
      </c>
      <c r="Q577" s="898">
        <f t="shared" si="109"/>
        <v>63928.3</v>
      </c>
      <c r="R577" s="898">
        <f t="shared" ref="R577:S577" si="111">SUM(R579:R581)</f>
        <v>58784.4</v>
      </c>
      <c r="S577" s="898">
        <f t="shared" si="111"/>
        <v>58963.5</v>
      </c>
      <c r="W577" s="19"/>
      <c r="X577" s="19"/>
      <c r="Y577" s="19"/>
    </row>
    <row r="578" spans="1:25" s="18" customFormat="1" ht="12">
      <c r="A578" s="104" t="s">
        <v>66</v>
      </c>
      <c r="B578" s="105"/>
      <c r="C578" s="105"/>
      <c r="D578" s="105"/>
      <c r="E578" s="105"/>
      <c r="F578" s="105"/>
      <c r="G578" s="105"/>
      <c r="H578" s="105"/>
      <c r="I578" s="105"/>
      <c r="J578" s="105"/>
      <c r="K578" s="105"/>
      <c r="L578" s="105"/>
      <c r="M578" s="105"/>
      <c r="N578" s="109"/>
      <c r="O578" s="109"/>
      <c r="P578" s="109"/>
      <c r="Q578" s="109"/>
      <c r="R578" s="109"/>
      <c r="S578" s="109"/>
      <c r="W578" s="19"/>
      <c r="X578" s="19"/>
      <c r="Y578" s="19"/>
    </row>
    <row r="579" spans="1:25" s="9" customFormat="1" ht="49.5" customHeight="1">
      <c r="A579" s="12" t="s">
        <v>697</v>
      </c>
      <c r="B579" s="288" t="s">
        <v>1034</v>
      </c>
      <c r="C579" s="896"/>
      <c r="D579" s="897"/>
      <c r="E579" s="896"/>
      <c r="F579" s="1591" t="s">
        <v>1289</v>
      </c>
      <c r="G579" s="896" t="s">
        <v>163</v>
      </c>
      <c r="H579" s="896" t="s">
        <v>1290</v>
      </c>
      <c r="I579" s="22" t="s">
        <v>1055</v>
      </c>
      <c r="J579" s="23" t="s">
        <v>48</v>
      </c>
      <c r="K579" s="24" t="s">
        <v>1291</v>
      </c>
      <c r="L579" s="11" t="s">
        <v>20</v>
      </c>
      <c r="M579" s="11" t="s">
        <v>25</v>
      </c>
      <c r="N579" s="314">
        <v>48825</v>
      </c>
      <c r="O579" s="519">
        <v>48825</v>
      </c>
      <c r="P579" s="314">
        <v>48928.3</v>
      </c>
      <c r="Q579" s="314">
        <v>48928.3</v>
      </c>
      <c r="R579" s="314">
        <v>43784.4</v>
      </c>
      <c r="S579" s="314">
        <v>43963.5</v>
      </c>
      <c r="W579" s="33"/>
      <c r="X579" s="33"/>
      <c r="Y579" s="33"/>
    </row>
    <row r="580" spans="1:25" s="9" customFormat="1" ht="86.25" customHeight="1">
      <c r="A580" s="128" t="s">
        <v>1288</v>
      </c>
      <c r="B580" s="7"/>
      <c r="C580" s="899"/>
      <c r="D580" s="22"/>
      <c r="E580" s="899"/>
      <c r="F580" s="1592"/>
      <c r="G580" s="899"/>
      <c r="H580" s="899"/>
      <c r="I580" s="897" t="s">
        <v>164</v>
      </c>
      <c r="J580" s="900" t="s">
        <v>50</v>
      </c>
      <c r="K580" s="900" t="s">
        <v>165</v>
      </c>
      <c r="L580" s="204"/>
      <c r="M580" s="204"/>
      <c r="N580" s="314"/>
      <c r="O580" s="519"/>
      <c r="P580" s="314"/>
      <c r="Q580" s="314"/>
      <c r="R580" s="314"/>
      <c r="S580" s="314"/>
      <c r="W580" s="33"/>
      <c r="X580" s="33"/>
      <c r="Y580" s="33"/>
    </row>
    <row r="581" spans="1:25" s="9" customFormat="1" ht="63" customHeight="1">
      <c r="A581" s="12"/>
      <c r="B581" s="11"/>
      <c r="C581" s="897"/>
      <c r="D581" s="897"/>
      <c r="E581" s="897"/>
      <c r="F581" s="897" t="s">
        <v>427</v>
      </c>
      <c r="G581" s="897" t="s">
        <v>227</v>
      </c>
      <c r="H581" s="897" t="s">
        <v>45</v>
      </c>
      <c r="I581" s="901" t="s">
        <v>490</v>
      </c>
      <c r="J581" s="897" t="s">
        <v>146</v>
      </c>
      <c r="K581" s="22" t="s">
        <v>228</v>
      </c>
      <c r="L581" s="11"/>
      <c r="M581" s="11"/>
      <c r="N581" s="314">
        <v>12275</v>
      </c>
      <c r="O581" s="519">
        <v>12275</v>
      </c>
      <c r="P581" s="314">
        <v>15000</v>
      </c>
      <c r="Q581" s="314">
        <v>15000</v>
      </c>
      <c r="R581" s="314">
        <v>15000</v>
      </c>
      <c r="S581" s="314">
        <v>15000</v>
      </c>
      <c r="W581" s="33"/>
      <c r="X581" s="33"/>
      <c r="Y581" s="33"/>
    </row>
    <row r="582" spans="1:25" s="18" customFormat="1" ht="123.75" customHeight="1">
      <c r="A582" s="56" t="s">
        <v>582</v>
      </c>
      <c r="B582" s="57">
        <v>2105</v>
      </c>
      <c r="C582" s="57" t="s">
        <v>22</v>
      </c>
      <c r="D582" s="57" t="s">
        <v>22</v>
      </c>
      <c r="E582" s="57" t="s">
        <v>22</v>
      </c>
      <c r="F582" s="57" t="s">
        <v>22</v>
      </c>
      <c r="G582" s="57" t="s">
        <v>22</v>
      </c>
      <c r="H582" s="57" t="s">
        <v>22</v>
      </c>
      <c r="I582" s="57" t="s">
        <v>22</v>
      </c>
      <c r="J582" s="57" t="s">
        <v>22</v>
      </c>
      <c r="K582" s="57" t="s">
        <v>22</v>
      </c>
      <c r="L582" s="57"/>
      <c r="M582" s="57"/>
      <c r="N582" s="328">
        <f t="shared" ref="N582:Q582" si="112">SUM(N583:N585)</f>
        <v>21067.038</v>
      </c>
      <c r="O582" s="1509">
        <f t="shared" si="112"/>
        <v>21066.992000000002</v>
      </c>
      <c r="P582" s="328">
        <f>SUM(P583:P585)</f>
        <v>15628.499390000001</v>
      </c>
      <c r="Q582" s="328">
        <f t="shared" si="112"/>
        <v>0</v>
      </c>
      <c r="R582" s="328">
        <f t="shared" ref="R582:S582" si="113">SUM(R583:R585)</f>
        <v>0</v>
      </c>
      <c r="S582" s="328">
        <f t="shared" si="113"/>
        <v>0</v>
      </c>
      <c r="W582" s="19"/>
      <c r="X582" s="19"/>
      <c r="Y582" s="19"/>
    </row>
    <row r="583" spans="1:25" s="9" customFormat="1" ht="86.25" customHeight="1">
      <c r="A583" s="664" t="s">
        <v>583</v>
      </c>
      <c r="B583" s="663" t="s">
        <v>1035</v>
      </c>
      <c r="C583" s="902" t="s">
        <v>1431</v>
      </c>
      <c r="D583" s="902" t="s">
        <v>229</v>
      </c>
      <c r="E583" s="902" t="s">
        <v>1430</v>
      </c>
      <c r="F583" s="1593" t="s">
        <v>1293</v>
      </c>
      <c r="G583" s="902" t="s">
        <v>183</v>
      </c>
      <c r="H583" s="902" t="s">
        <v>454</v>
      </c>
      <c r="I583" s="663" t="s">
        <v>1294</v>
      </c>
      <c r="J583" s="664" t="s">
        <v>48</v>
      </c>
      <c r="K583" s="663" t="s">
        <v>454</v>
      </c>
      <c r="L583" s="663" t="s">
        <v>28</v>
      </c>
      <c r="M583" s="663" t="s">
        <v>32</v>
      </c>
      <c r="N583" s="903">
        <v>2118.9</v>
      </c>
      <c r="O583" s="1547">
        <v>2118.9</v>
      </c>
      <c r="P583" s="903">
        <v>2483.1</v>
      </c>
      <c r="Q583" s="903"/>
      <c r="R583" s="903"/>
      <c r="S583" s="903"/>
      <c r="W583" s="33"/>
      <c r="X583" s="33"/>
      <c r="Y583" s="33"/>
    </row>
    <row r="584" spans="1:25" s="9" customFormat="1" ht="111.75" customHeight="1">
      <c r="A584" s="657"/>
      <c r="B584" s="52"/>
      <c r="C584" s="344"/>
      <c r="D584" s="344"/>
      <c r="E584" s="344"/>
      <c r="F584" s="1594"/>
      <c r="G584" s="1497"/>
      <c r="H584" s="1497"/>
      <c r="I584" s="52" t="s">
        <v>620</v>
      </c>
      <c r="J584" s="657" t="s">
        <v>48</v>
      </c>
      <c r="K584" s="52" t="s">
        <v>454</v>
      </c>
      <c r="L584" s="52"/>
      <c r="M584" s="52"/>
      <c r="N584" s="842"/>
      <c r="O584" s="1532"/>
      <c r="P584" s="842"/>
      <c r="Q584" s="842"/>
      <c r="R584" s="842"/>
      <c r="S584" s="842"/>
      <c r="W584" s="33"/>
      <c r="X584" s="33"/>
      <c r="Y584" s="33"/>
    </row>
    <row r="585" spans="1:25" s="9" customFormat="1" ht="222" customHeight="1">
      <c r="A585" s="12" t="s">
        <v>1292</v>
      </c>
      <c r="B585" s="11" t="s">
        <v>1522</v>
      </c>
      <c r="C585" s="1595" t="s">
        <v>1432</v>
      </c>
      <c r="D585" s="1595" t="s">
        <v>170</v>
      </c>
      <c r="E585" s="1689" t="s">
        <v>1416</v>
      </c>
      <c r="F585" s="1450" t="s">
        <v>1299</v>
      </c>
      <c r="G585" s="1450" t="s">
        <v>172</v>
      </c>
      <c r="H585" s="1450" t="s">
        <v>1411</v>
      </c>
      <c r="I585" s="904" t="s">
        <v>1297</v>
      </c>
      <c r="J585" s="905" t="s">
        <v>48</v>
      </c>
      <c r="K585" s="905" t="s">
        <v>510</v>
      </c>
      <c r="L585" s="242" t="s">
        <v>16</v>
      </c>
      <c r="M585" s="242" t="s">
        <v>29</v>
      </c>
      <c r="N585" s="460">
        <v>18948.137999999999</v>
      </c>
      <c r="O585" s="419">
        <v>18948.092000000001</v>
      </c>
      <c r="P585" s="460">
        <f>9026.019-436.01961+4555.4</f>
        <v>13145.39939</v>
      </c>
      <c r="Q585" s="460">
        <v>0</v>
      </c>
      <c r="R585" s="460">
        <v>0</v>
      </c>
      <c r="S585" s="460">
        <f>R585</f>
        <v>0</v>
      </c>
      <c r="W585" s="33"/>
      <c r="X585" s="33"/>
      <c r="Y585" s="33"/>
    </row>
    <row r="586" spans="1:25" s="9" customFormat="1" ht="274.5" customHeight="1">
      <c r="A586" s="657"/>
      <c r="B586" s="52"/>
      <c r="C586" s="1596"/>
      <c r="D586" s="1596"/>
      <c r="E586" s="1690"/>
      <c r="F586" s="66" t="s">
        <v>1295</v>
      </c>
      <c r="G586" s="66" t="s">
        <v>48</v>
      </c>
      <c r="H586" s="66" t="s">
        <v>1296</v>
      </c>
      <c r="I586" s="25" t="s">
        <v>1298</v>
      </c>
      <c r="J586" s="906" t="s">
        <v>48</v>
      </c>
      <c r="K586" s="1455" t="s">
        <v>590</v>
      </c>
      <c r="L586" s="1423"/>
      <c r="M586" s="1423"/>
      <c r="N586" s="462"/>
      <c r="O586" s="462"/>
      <c r="P586" s="462"/>
      <c r="Q586" s="462"/>
      <c r="R586" s="462"/>
      <c r="S586" s="462"/>
      <c r="W586" s="33"/>
      <c r="X586" s="33"/>
      <c r="Y586" s="33"/>
    </row>
    <row r="587" spans="1:25" s="18" customFormat="1" ht="24" customHeight="1">
      <c r="A587" s="56" t="s">
        <v>373</v>
      </c>
      <c r="B587" s="57">
        <v>2200</v>
      </c>
      <c r="C587" s="57" t="s">
        <v>22</v>
      </c>
      <c r="D587" s="57" t="s">
        <v>22</v>
      </c>
      <c r="E587" s="57" t="s">
        <v>22</v>
      </c>
      <c r="F587" s="770" t="s">
        <v>22</v>
      </c>
      <c r="G587" s="770" t="s">
        <v>22</v>
      </c>
      <c r="H587" s="770" t="s">
        <v>22</v>
      </c>
      <c r="I587" s="57" t="s">
        <v>22</v>
      </c>
      <c r="J587" s="364" t="s">
        <v>22</v>
      </c>
      <c r="K587" s="105" t="s">
        <v>22</v>
      </c>
      <c r="L587" s="105"/>
      <c r="M587" s="105"/>
      <c r="N587" s="109">
        <f t="shared" ref="N587:S587" si="114">N589</f>
        <v>386846.93900000001</v>
      </c>
      <c r="O587" s="109">
        <f>O589</f>
        <v>355083.02400000003</v>
      </c>
      <c r="P587" s="109">
        <f t="shared" si="114"/>
        <v>309068.21162999998</v>
      </c>
      <c r="Q587" s="109">
        <f t="shared" si="114"/>
        <v>120863.4</v>
      </c>
      <c r="R587" s="109">
        <f t="shared" si="114"/>
        <v>74894.8</v>
      </c>
      <c r="S587" s="109">
        <f t="shared" si="114"/>
        <v>73657.8</v>
      </c>
      <c r="W587" s="19"/>
      <c r="X587" s="19"/>
      <c r="Y587" s="19"/>
    </row>
    <row r="588" spans="1:25" s="18" customFormat="1" ht="75" customHeight="1">
      <c r="A588" s="907" t="s">
        <v>1301</v>
      </c>
      <c r="B588" s="618"/>
      <c r="C588" s="57" t="s">
        <v>22</v>
      </c>
      <c r="D588" s="57" t="s">
        <v>22</v>
      </c>
      <c r="E588" s="57" t="s">
        <v>22</v>
      </c>
      <c r="F588" s="57" t="s">
        <v>22</v>
      </c>
      <c r="G588" s="57" t="s">
        <v>22</v>
      </c>
      <c r="H588" s="57" t="s">
        <v>22</v>
      </c>
      <c r="I588" s="57" t="s">
        <v>22</v>
      </c>
      <c r="J588" s="57" t="s">
        <v>22</v>
      </c>
      <c r="K588" s="160" t="s">
        <v>22</v>
      </c>
      <c r="L588" s="160"/>
      <c r="M588" s="160"/>
      <c r="N588" s="631">
        <v>0</v>
      </c>
      <c r="O588" s="631">
        <v>0</v>
      </c>
      <c r="P588" s="631">
        <v>0</v>
      </c>
      <c r="Q588" s="631">
        <v>0</v>
      </c>
      <c r="R588" s="631">
        <v>0</v>
      </c>
      <c r="S588" s="631">
        <v>0</v>
      </c>
      <c r="W588" s="19"/>
      <c r="X588" s="19"/>
      <c r="Y588" s="19"/>
    </row>
    <row r="589" spans="1:25" s="18" customFormat="1" ht="36" customHeight="1">
      <c r="A589" s="56" t="s">
        <v>1300</v>
      </c>
      <c r="B589" s="57">
        <v>2300</v>
      </c>
      <c r="C589" s="57" t="s">
        <v>22</v>
      </c>
      <c r="D589" s="57" t="s">
        <v>22</v>
      </c>
      <c r="E589" s="57" t="s">
        <v>22</v>
      </c>
      <c r="F589" s="57" t="s">
        <v>22</v>
      </c>
      <c r="G589" s="57" t="s">
        <v>22</v>
      </c>
      <c r="H589" s="57" t="s">
        <v>22</v>
      </c>
      <c r="I589" s="57" t="s">
        <v>22</v>
      </c>
      <c r="J589" s="57" t="s">
        <v>22</v>
      </c>
      <c r="K589" s="57" t="s">
        <v>22</v>
      </c>
      <c r="L589" s="57"/>
      <c r="M589" s="57"/>
      <c r="N589" s="328">
        <f>N590+N599+N622+N631+N638+N643+N654+N658+N666+N673+N690+N695+N716+N721+N725+N736+N739+N728+N740+N745+N751</f>
        <v>386846.93900000001</v>
      </c>
      <c r="O589" s="1509">
        <f>O590+O599+O622+O631+O638+O643+O654+O658+O666+O673+O690+O695+O716+O721+O725+O736+O739+O728+O740+O745+O751</f>
        <v>355083.02400000003</v>
      </c>
      <c r="P589" s="328">
        <f>P590+P599+P622+P631+P638+P643+P654+P658+P666+P673+P690+P695+P716+P721+P725+P736+P739+P728+P740+P745+P751+P647</f>
        <v>309068.21162999998</v>
      </c>
      <c r="Q589" s="328">
        <f>Q590+Q599+Q622+Q631+Q638+Q643+Q654+Q658+Q666+Q673+Q690+Q695+Q716+Q721+Q725+Q736+Q739+Q728+Q740+Q745+Q751</f>
        <v>120863.4</v>
      </c>
      <c r="R589" s="328">
        <f>R590+R599+R622+R631+R638+R643+R654+R658+R666+R673+R690+R695+R716+R721+R725+R736+R739+R728+R740+R745+R751</f>
        <v>74894.8</v>
      </c>
      <c r="S589" s="328">
        <f>S590+S599+S622+S631+S638+S643+S654+S658+S666+S673+S690+S695+S716+S721+S725+S736+S739+S728+S740+S745+S751</f>
        <v>73657.8</v>
      </c>
      <c r="W589" s="19"/>
      <c r="X589" s="19"/>
      <c r="Y589" s="19"/>
    </row>
    <row r="590" spans="1:25" s="18" customFormat="1" ht="76.5" customHeight="1">
      <c r="A590" s="56" t="s">
        <v>1302</v>
      </c>
      <c r="B590" s="57">
        <v>2301</v>
      </c>
      <c r="C590" s="621" t="s">
        <v>1433</v>
      </c>
      <c r="D590" s="621" t="s">
        <v>1434</v>
      </c>
      <c r="E590" s="621" t="s">
        <v>1187</v>
      </c>
      <c r="F590" s="56" t="s">
        <v>24</v>
      </c>
      <c r="G590" s="56" t="s">
        <v>24</v>
      </c>
      <c r="H590" s="56" t="s">
        <v>24</v>
      </c>
      <c r="I590" s="908"/>
      <c r="J590" s="908"/>
      <c r="K590" s="909"/>
      <c r="L590" s="57"/>
      <c r="M590" s="57"/>
      <c r="N590" s="328">
        <f t="shared" ref="N590:Q590" si="115">SUM(N591:N598)</f>
        <v>0</v>
      </c>
      <c r="O590" s="1509">
        <f t="shared" ref="O590" si="116">SUM(O591:O598)</f>
        <v>0</v>
      </c>
      <c r="P590" s="328">
        <f t="shared" si="115"/>
        <v>0</v>
      </c>
      <c r="Q590" s="328">
        <f t="shared" si="115"/>
        <v>0</v>
      </c>
      <c r="R590" s="328">
        <f t="shared" ref="R590:S590" si="117">SUM(R591:R598)</f>
        <v>0</v>
      </c>
      <c r="S590" s="328">
        <f t="shared" si="117"/>
        <v>0</v>
      </c>
      <c r="W590" s="19"/>
      <c r="X590" s="19"/>
      <c r="Y590" s="19"/>
    </row>
    <row r="591" spans="1:25" s="9" customFormat="1" ht="24" customHeight="1">
      <c r="A591" s="910" t="s">
        <v>826</v>
      </c>
      <c r="B591" s="567"/>
      <c r="C591" s="50"/>
      <c r="D591" s="50"/>
      <c r="E591" s="50"/>
      <c r="F591" s="911"/>
      <c r="G591" s="50"/>
      <c r="H591" s="50"/>
      <c r="I591" s="912"/>
      <c r="J591" s="912"/>
      <c r="K591" s="913"/>
      <c r="L591" s="567"/>
      <c r="M591" s="567"/>
      <c r="N591" s="568"/>
      <c r="O591" s="568"/>
      <c r="P591" s="568"/>
      <c r="Q591" s="568"/>
      <c r="R591" s="568"/>
      <c r="S591" s="568"/>
      <c r="W591" s="33"/>
      <c r="X591" s="33"/>
      <c r="Y591" s="33"/>
    </row>
    <row r="592" spans="1:25" s="9" customFormat="1" ht="53.25" hidden="1" customHeight="1">
      <c r="A592" s="914" t="s">
        <v>1303</v>
      </c>
      <c r="B592" s="567"/>
      <c r="C592" s="50"/>
      <c r="D592" s="50"/>
      <c r="E592" s="50"/>
      <c r="F592" s="911"/>
      <c r="G592" s="50"/>
      <c r="H592" s="50"/>
      <c r="I592" s="230" t="s">
        <v>1600</v>
      </c>
      <c r="J592" s="230" t="s">
        <v>830</v>
      </c>
      <c r="K592" s="913" t="s">
        <v>556</v>
      </c>
      <c r="L592" s="567"/>
      <c r="M592" s="567"/>
      <c r="N592" s="568"/>
      <c r="O592" s="568"/>
      <c r="P592" s="568"/>
      <c r="Q592" s="568"/>
      <c r="R592" s="568"/>
      <c r="S592" s="568"/>
      <c r="W592" s="33"/>
      <c r="X592" s="33"/>
      <c r="Y592" s="33"/>
    </row>
    <row r="593" spans="1:25" s="9" customFormat="1" ht="48" hidden="1">
      <c r="A593" s="128" t="s">
        <v>829</v>
      </c>
      <c r="B593" s="180" t="s">
        <v>835</v>
      </c>
      <c r="C593" s="216"/>
      <c r="D593" s="216"/>
      <c r="E593" s="216"/>
      <c r="F593" s="384"/>
      <c r="G593" s="216"/>
      <c r="H593" s="216"/>
      <c r="I593" s="183" t="s">
        <v>831</v>
      </c>
      <c r="J593" s="183" t="s">
        <v>48</v>
      </c>
      <c r="K593" s="385" t="s">
        <v>832</v>
      </c>
      <c r="L593" s="180" t="s">
        <v>25</v>
      </c>
      <c r="M593" s="180" t="s">
        <v>29</v>
      </c>
      <c r="N593" s="185">
        <v>0</v>
      </c>
      <c r="O593" s="953">
        <v>0</v>
      </c>
      <c r="P593" s="185">
        <v>0</v>
      </c>
      <c r="Q593" s="185">
        <v>0</v>
      </c>
      <c r="R593" s="185">
        <v>0</v>
      </c>
      <c r="S593" s="185">
        <v>0</v>
      </c>
      <c r="W593" s="33"/>
      <c r="X593" s="33"/>
      <c r="Y593" s="33"/>
    </row>
    <row r="594" spans="1:25" s="9" customFormat="1" ht="53.25" hidden="1" customHeight="1">
      <c r="A594" s="915"/>
      <c r="B594" s="337"/>
      <c r="C594" s="916"/>
      <c r="D594" s="916"/>
      <c r="E594" s="916"/>
      <c r="F594" s="917"/>
      <c r="G594" s="916"/>
      <c r="H594" s="916"/>
      <c r="I594" s="338" t="s">
        <v>833</v>
      </c>
      <c r="J594" s="338" t="s">
        <v>48</v>
      </c>
      <c r="K594" s="339" t="s">
        <v>834</v>
      </c>
      <c r="L594" s="337"/>
      <c r="M594" s="337"/>
      <c r="N594" s="340"/>
      <c r="O594" s="637"/>
      <c r="P594" s="340"/>
      <c r="Q594" s="1548"/>
      <c r="R594" s="1548"/>
      <c r="S594" s="1548"/>
      <c r="W594" s="33"/>
      <c r="X594" s="33"/>
      <c r="Y594" s="33"/>
    </row>
    <row r="595" spans="1:25" s="9" customFormat="1" ht="53.25" hidden="1" customHeight="1">
      <c r="A595" s="918" t="s">
        <v>827</v>
      </c>
      <c r="B595" s="180"/>
      <c r="C595" s="216"/>
      <c r="D595" s="216"/>
      <c r="E595" s="216"/>
      <c r="F595" s="384"/>
      <c r="G595" s="216"/>
      <c r="H595" s="216"/>
      <c r="I595" s="919"/>
      <c r="J595" s="919"/>
      <c r="K595" s="920"/>
      <c r="L595" s="180"/>
      <c r="M595" s="180"/>
      <c r="N595" s="185"/>
      <c r="O595" s="953"/>
      <c r="P595" s="185"/>
      <c r="Q595" s="185"/>
      <c r="R595" s="185"/>
      <c r="S595" s="185"/>
      <c r="W595" s="33"/>
      <c r="X595" s="33"/>
      <c r="Y595" s="33"/>
    </row>
    <row r="596" spans="1:25" s="9" customFormat="1" ht="53.25" hidden="1" customHeight="1">
      <c r="A596" s="386" t="s">
        <v>828</v>
      </c>
      <c r="B596" s="103" t="s">
        <v>628</v>
      </c>
      <c r="C596" s="216"/>
      <c r="D596" s="216"/>
      <c r="E596" s="216"/>
      <c r="F596" s="384"/>
      <c r="G596" s="216"/>
      <c r="H596" s="216"/>
      <c r="I596" s="921" t="s">
        <v>630</v>
      </c>
      <c r="J596" s="922" t="s">
        <v>48</v>
      </c>
      <c r="K596" s="923" t="s">
        <v>629</v>
      </c>
      <c r="L596" s="567" t="s">
        <v>25</v>
      </c>
      <c r="M596" s="567" t="s">
        <v>19</v>
      </c>
      <c r="N596" s="568">
        <v>0</v>
      </c>
      <c r="O596" s="568">
        <v>0</v>
      </c>
      <c r="P596" s="568">
        <v>0</v>
      </c>
      <c r="Q596" s="568">
        <v>0</v>
      </c>
      <c r="R596" s="568">
        <v>0</v>
      </c>
      <c r="S596" s="568">
        <v>0</v>
      </c>
      <c r="W596" s="33"/>
      <c r="X596" s="33"/>
      <c r="Y596" s="33"/>
    </row>
    <row r="597" spans="1:25" s="9" customFormat="1" ht="60" hidden="1">
      <c r="A597" s="386"/>
      <c r="B597" s="567" t="s">
        <v>307</v>
      </c>
      <c r="C597" s="216"/>
      <c r="D597" s="216"/>
      <c r="E597" s="216"/>
      <c r="F597" s="384"/>
      <c r="G597" s="216"/>
      <c r="H597" s="216"/>
      <c r="I597" s="230" t="s">
        <v>850</v>
      </c>
      <c r="J597" s="230" t="s">
        <v>48</v>
      </c>
      <c r="K597" s="231" t="s">
        <v>639</v>
      </c>
      <c r="L597" s="567" t="s">
        <v>25</v>
      </c>
      <c r="M597" s="567" t="s">
        <v>19</v>
      </c>
      <c r="N597" s="568">
        <v>0</v>
      </c>
      <c r="O597" s="568">
        <v>0</v>
      </c>
      <c r="P597" s="568">
        <v>0</v>
      </c>
      <c r="Q597" s="568">
        <v>0</v>
      </c>
      <c r="R597" s="568">
        <v>0</v>
      </c>
      <c r="S597" s="568">
        <v>0</v>
      </c>
      <c r="W597" s="33"/>
      <c r="X597" s="33"/>
      <c r="Y597" s="33"/>
    </row>
    <row r="598" spans="1:25" s="9" customFormat="1" ht="48" hidden="1">
      <c r="A598" s="924"/>
      <c r="B598" s="567" t="s">
        <v>836</v>
      </c>
      <c r="C598" s="925"/>
      <c r="D598" s="925"/>
      <c r="E598" s="925"/>
      <c r="F598" s="926"/>
      <c r="G598" s="925"/>
      <c r="H598" s="925"/>
      <c r="I598" s="230" t="s">
        <v>837</v>
      </c>
      <c r="J598" s="230" t="s">
        <v>48</v>
      </c>
      <c r="K598" s="231" t="s">
        <v>838</v>
      </c>
      <c r="L598" s="567" t="s">
        <v>25</v>
      </c>
      <c r="M598" s="567" t="s">
        <v>19</v>
      </c>
      <c r="N598" s="568">
        <v>0</v>
      </c>
      <c r="O598" s="568">
        <v>0</v>
      </c>
      <c r="P598" s="568">
        <v>0</v>
      </c>
      <c r="Q598" s="568">
        <v>0</v>
      </c>
      <c r="R598" s="568">
        <v>0</v>
      </c>
      <c r="S598" s="568">
        <v>0</v>
      </c>
      <c r="W598" s="33"/>
      <c r="X598" s="33"/>
      <c r="Y598" s="33"/>
    </row>
    <row r="599" spans="1:25" s="18" customFormat="1" ht="74.25" customHeight="1">
      <c r="A599" s="10" t="s">
        <v>374</v>
      </c>
      <c r="B599" s="347">
        <v>2302</v>
      </c>
      <c r="C599" s="621" t="s">
        <v>1433</v>
      </c>
      <c r="D599" s="621" t="s">
        <v>1435</v>
      </c>
      <c r="E599" s="621" t="s">
        <v>1187</v>
      </c>
      <c r="F599" s="10" t="s">
        <v>24</v>
      </c>
      <c r="G599" s="10" t="s">
        <v>24</v>
      </c>
      <c r="H599" s="10" t="s">
        <v>24</v>
      </c>
      <c r="I599" s="10" t="s">
        <v>24</v>
      </c>
      <c r="J599" s="10" t="s">
        <v>24</v>
      </c>
      <c r="K599" s="10" t="s">
        <v>24</v>
      </c>
      <c r="L599" s="347"/>
      <c r="M599" s="347"/>
      <c r="N599" s="807">
        <f>SUM(N603:N621)</f>
        <v>151298.76200000002</v>
      </c>
      <c r="O599" s="807">
        <f t="shared" ref="O599:S599" si="118">SUM(O603:O621)</f>
        <v>143063.63300000003</v>
      </c>
      <c r="P599" s="807">
        <f>SUM(P603:P621)</f>
        <v>78104.524000000005</v>
      </c>
      <c r="Q599" s="807">
        <f t="shared" si="118"/>
        <v>7000</v>
      </c>
      <c r="R599" s="807">
        <f t="shared" si="118"/>
        <v>0</v>
      </c>
      <c r="S599" s="807">
        <f t="shared" si="118"/>
        <v>0</v>
      </c>
      <c r="W599" s="19"/>
      <c r="X599" s="19"/>
      <c r="Y599" s="19"/>
    </row>
    <row r="600" spans="1:25" s="9" customFormat="1" ht="12">
      <c r="A600" s="927" t="s">
        <v>66</v>
      </c>
      <c r="B600" s="928"/>
      <c r="C600" s="929"/>
      <c r="D600" s="929"/>
      <c r="E600" s="929"/>
      <c r="F600" s="929"/>
      <c r="G600" s="930"/>
      <c r="H600" s="931"/>
      <c r="I600" s="2"/>
      <c r="J600" s="2"/>
      <c r="K600" s="2"/>
      <c r="L600" s="932"/>
      <c r="M600" s="663"/>
      <c r="N600" s="903"/>
      <c r="O600" s="1547"/>
      <c r="P600" s="903"/>
      <c r="Q600" s="903"/>
      <c r="R600" s="903"/>
      <c r="S600" s="903"/>
      <c r="W600" s="33"/>
      <c r="X600" s="33"/>
      <c r="Y600" s="33"/>
    </row>
    <row r="601" spans="1:25" s="9" customFormat="1" ht="13.5" customHeight="1">
      <c r="A601" s="914" t="s">
        <v>657</v>
      </c>
      <c r="B601" s="50"/>
      <c r="C601" s="2"/>
      <c r="D601" s="2"/>
      <c r="E601" s="2"/>
      <c r="F601" s="2"/>
      <c r="G601" s="2"/>
      <c r="H601" s="2"/>
      <c r="I601" s="933"/>
      <c r="J601" s="933"/>
      <c r="K601" s="933"/>
      <c r="L601" s="50"/>
      <c r="M601" s="50"/>
      <c r="N601" s="568"/>
      <c r="O601" s="568"/>
      <c r="P601" s="568"/>
      <c r="Q601" s="568"/>
      <c r="R601" s="568"/>
      <c r="S601" s="568"/>
      <c r="W601" s="33"/>
      <c r="X601" s="33"/>
      <c r="Y601" s="33"/>
    </row>
    <row r="602" spans="1:25" s="9" customFormat="1" ht="62.25" customHeight="1">
      <c r="A602" s="934" t="s">
        <v>785</v>
      </c>
      <c r="B602" s="1319"/>
      <c r="C602" s="2"/>
      <c r="D602" s="2"/>
      <c r="E602" s="2"/>
      <c r="F602" s="2"/>
      <c r="G602" s="2"/>
      <c r="H602" s="2"/>
      <c r="I602" s="933" t="s">
        <v>1304</v>
      </c>
      <c r="J602" s="933" t="s">
        <v>48</v>
      </c>
      <c r="K602" s="933" t="s">
        <v>618</v>
      </c>
      <c r="L602" s="50"/>
      <c r="M602" s="50"/>
      <c r="N602" s="568"/>
      <c r="O602" s="568"/>
      <c r="P602" s="568"/>
      <c r="Q602" s="568"/>
      <c r="R602" s="568"/>
      <c r="S602" s="568"/>
      <c r="W602" s="33"/>
      <c r="X602" s="33"/>
      <c r="Y602" s="33"/>
    </row>
    <row r="603" spans="1:25" s="9" customFormat="1" ht="88.5" customHeight="1">
      <c r="A603" s="1587" t="s">
        <v>786</v>
      </c>
      <c r="B603" s="1076" t="s">
        <v>308</v>
      </c>
      <c r="C603" s="1589"/>
      <c r="D603" s="1589"/>
      <c r="E603" s="1589"/>
      <c r="F603" s="1589" t="s">
        <v>567</v>
      </c>
      <c r="G603" s="1589" t="s">
        <v>467</v>
      </c>
      <c r="H603" s="1589" t="s">
        <v>1372</v>
      </c>
      <c r="I603" s="1432" t="s">
        <v>1611</v>
      </c>
      <c r="J603" s="1410" t="s">
        <v>48</v>
      </c>
      <c r="K603" s="945" t="s">
        <v>1612</v>
      </c>
      <c r="L603" s="567" t="s">
        <v>27</v>
      </c>
      <c r="M603" s="567" t="s">
        <v>28</v>
      </c>
      <c r="N603" s="935">
        <v>12283.165000000001</v>
      </c>
      <c r="O603" s="935">
        <v>12144.636</v>
      </c>
      <c r="P603" s="935">
        <v>4450</v>
      </c>
      <c r="Q603" s="935"/>
      <c r="R603" s="935"/>
      <c r="S603" s="935"/>
      <c r="W603" s="33"/>
      <c r="X603" s="33"/>
      <c r="Y603" s="33"/>
    </row>
    <row r="604" spans="1:25" s="9" customFormat="1" ht="87.75" customHeight="1">
      <c r="A604" s="1588"/>
      <c r="B604" s="700" t="s">
        <v>303</v>
      </c>
      <c r="C604" s="1590"/>
      <c r="D604" s="1590"/>
      <c r="E604" s="1590"/>
      <c r="F604" s="1590"/>
      <c r="G604" s="1590"/>
      <c r="H604" s="1590"/>
      <c r="I604" s="1077" t="s">
        <v>1557</v>
      </c>
      <c r="J604" s="1228" t="s">
        <v>48</v>
      </c>
      <c r="K604" s="945" t="s">
        <v>1558</v>
      </c>
      <c r="L604" s="567" t="s">
        <v>27</v>
      </c>
      <c r="M604" s="567" t="s">
        <v>28</v>
      </c>
      <c r="N604" s="935">
        <v>730.16300000000001</v>
      </c>
      <c r="O604" s="935">
        <v>730.16300000000001</v>
      </c>
      <c r="P604" s="1080">
        <v>0</v>
      </c>
      <c r="Q604" s="935"/>
      <c r="R604" s="935"/>
      <c r="S604" s="935"/>
      <c r="W604" s="33"/>
      <c r="X604" s="33"/>
      <c r="Y604" s="33"/>
    </row>
    <row r="605" spans="1:25" s="9" customFormat="1" ht="87.75" customHeight="1">
      <c r="A605" s="1395"/>
      <c r="B605" s="1247" t="s">
        <v>839</v>
      </c>
      <c r="C605" s="1473"/>
      <c r="D605" s="1473"/>
      <c r="E605" s="1473"/>
      <c r="F605" s="1473"/>
      <c r="G605" s="1473"/>
      <c r="H605" s="1473"/>
      <c r="I605" s="1433" t="s">
        <v>1613</v>
      </c>
      <c r="J605" s="1261" t="s">
        <v>48</v>
      </c>
      <c r="K605" s="1231" t="s">
        <v>1614</v>
      </c>
      <c r="L605" s="567" t="s">
        <v>27</v>
      </c>
      <c r="M605" s="567" t="s">
        <v>28</v>
      </c>
      <c r="N605" s="935">
        <v>1235.0119999999999</v>
      </c>
      <c r="O605" s="935">
        <v>1235.0119999999999</v>
      </c>
      <c r="P605" s="1080">
        <v>536</v>
      </c>
      <c r="Q605" s="935"/>
      <c r="R605" s="935"/>
      <c r="S605" s="935"/>
      <c r="W605" s="33"/>
      <c r="X605" s="33"/>
      <c r="Y605" s="33"/>
    </row>
    <row r="606" spans="1:25" s="9" customFormat="1" ht="72" hidden="1">
      <c r="A606" s="1262"/>
      <c r="B606" s="258" t="s">
        <v>633</v>
      </c>
      <c r="C606" s="100"/>
      <c r="D606" s="100"/>
      <c r="E606" s="100"/>
      <c r="F606" s="100"/>
      <c r="G606" s="100"/>
      <c r="H606" s="100"/>
      <c r="I606" s="1229" t="s">
        <v>634</v>
      </c>
      <c r="J606" s="230" t="s">
        <v>48</v>
      </c>
      <c r="K606" s="231" t="s">
        <v>635</v>
      </c>
      <c r="L606" s="567" t="s">
        <v>27</v>
      </c>
      <c r="M606" s="567" t="s">
        <v>28</v>
      </c>
      <c r="N606" s="568">
        <v>0</v>
      </c>
      <c r="O606" s="568">
        <v>0</v>
      </c>
      <c r="P606" s="568">
        <v>0</v>
      </c>
      <c r="Q606" s="568">
        <v>0</v>
      </c>
      <c r="R606" s="568">
        <v>0</v>
      </c>
      <c r="S606" s="568">
        <v>0</v>
      </c>
      <c r="W606" s="33"/>
      <c r="X606" s="33"/>
      <c r="Y606" s="33"/>
    </row>
    <row r="607" spans="1:25" s="9" customFormat="1" ht="53.25" hidden="1" customHeight="1">
      <c r="A607" s="1262"/>
      <c r="B607" s="258" t="s">
        <v>610</v>
      </c>
      <c r="C607" s="100"/>
      <c r="D607" s="100"/>
      <c r="E607" s="100"/>
      <c r="F607" s="100"/>
      <c r="G607" s="100"/>
      <c r="H607" s="100"/>
      <c r="I607" s="1230" t="s">
        <v>613</v>
      </c>
      <c r="J607" s="1428" t="s">
        <v>48</v>
      </c>
      <c r="K607" s="1460" t="s">
        <v>612</v>
      </c>
      <c r="L607" s="1462" t="s">
        <v>27</v>
      </c>
      <c r="M607" s="1462" t="s">
        <v>28</v>
      </c>
      <c r="N607" s="568">
        <v>0</v>
      </c>
      <c r="O607" s="568">
        <v>0</v>
      </c>
      <c r="P607" s="568">
        <v>0</v>
      </c>
      <c r="Q607" s="568">
        <v>0</v>
      </c>
      <c r="R607" s="568">
        <v>0</v>
      </c>
      <c r="S607" s="568">
        <v>0</v>
      </c>
      <c r="W607" s="33"/>
      <c r="X607" s="33"/>
      <c r="Y607" s="33"/>
    </row>
    <row r="608" spans="1:25" s="9" customFormat="1" ht="101.25" customHeight="1">
      <c r="A608" s="1262"/>
      <c r="B608" s="853" t="s">
        <v>880</v>
      </c>
      <c r="C608" s="100"/>
      <c r="D608" s="100"/>
      <c r="E608" s="100"/>
      <c r="F608" s="100"/>
      <c r="G608" s="100"/>
      <c r="H608" s="727"/>
      <c r="I608" s="937" t="s">
        <v>1590</v>
      </c>
      <c r="J608" s="589" t="s">
        <v>48</v>
      </c>
      <c r="K608" s="1420" t="s">
        <v>1131</v>
      </c>
      <c r="L608" s="1462" t="s">
        <v>27</v>
      </c>
      <c r="M608" s="1462" t="s">
        <v>28</v>
      </c>
      <c r="N608" s="939">
        <v>19276.695</v>
      </c>
      <c r="O608" s="568">
        <v>19276.695</v>
      </c>
      <c r="P608" s="569">
        <f>4016.56+1284.16+4302.324+52</f>
        <v>9655.0439999999999</v>
      </c>
      <c r="Q608" s="568"/>
      <c r="R608" s="568"/>
      <c r="S608" s="568"/>
      <c r="W608" s="33"/>
      <c r="X608" s="33"/>
      <c r="Y608" s="33"/>
    </row>
    <row r="609" spans="1:25" s="9" customFormat="1" ht="99.75" customHeight="1">
      <c r="A609" s="233"/>
      <c r="B609" s="1076" t="s">
        <v>431</v>
      </c>
      <c r="C609" s="1079"/>
      <c r="D609" s="1079"/>
      <c r="E609" s="1079"/>
      <c r="F609" s="1079"/>
      <c r="G609" s="1079"/>
      <c r="H609" s="1079"/>
      <c r="I609" s="1077" t="s">
        <v>1591</v>
      </c>
      <c r="J609" s="1487" t="s">
        <v>48</v>
      </c>
      <c r="K609" s="1231" t="s">
        <v>1131</v>
      </c>
      <c r="L609" s="1076" t="s">
        <v>27</v>
      </c>
      <c r="M609" s="1076" t="s">
        <v>28</v>
      </c>
      <c r="N609" s="939">
        <v>20542.276999999998</v>
      </c>
      <c r="O609" s="568">
        <v>20537.111000000001</v>
      </c>
      <c r="P609" s="569">
        <f>6007.205+6307.02+5940.46+1825</f>
        <v>20079.685000000001</v>
      </c>
      <c r="Q609" s="568">
        <v>7000</v>
      </c>
      <c r="R609" s="568"/>
      <c r="S609" s="568"/>
      <c r="W609" s="33"/>
      <c r="X609" s="33"/>
      <c r="Y609" s="33"/>
    </row>
    <row r="610" spans="1:25" s="9" customFormat="1" ht="87.75" customHeight="1">
      <c r="A610" s="286"/>
      <c r="B610" s="944" t="s">
        <v>299</v>
      </c>
      <c r="C610" s="100"/>
      <c r="D610" s="100"/>
      <c r="E610" s="100"/>
      <c r="F610" s="100"/>
      <c r="G610" s="100"/>
      <c r="H610" s="100"/>
      <c r="I610" s="1399" t="s">
        <v>956</v>
      </c>
      <c r="J610" s="1391" t="s">
        <v>48</v>
      </c>
      <c r="K610" s="274" t="s">
        <v>851</v>
      </c>
      <c r="L610" s="258" t="s">
        <v>27</v>
      </c>
      <c r="M610" s="258" t="s">
        <v>28</v>
      </c>
      <c r="N610" s="701">
        <v>297.59899999999999</v>
      </c>
      <c r="O610" s="701">
        <v>297.59899999999999</v>
      </c>
      <c r="P610" s="701">
        <v>0</v>
      </c>
      <c r="Q610" s="701"/>
      <c r="R610" s="701"/>
      <c r="S610" s="701"/>
      <c r="W610" s="33"/>
      <c r="X610" s="33"/>
      <c r="Y610" s="33"/>
    </row>
    <row r="611" spans="1:25" s="9" customFormat="1" ht="50.25" customHeight="1">
      <c r="A611" s="727"/>
      <c r="B611" s="1076" t="s">
        <v>306</v>
      </c>
      <c r="C611" s="1079"/>
      <c r="D611" s="1079"/>
      <c r="E611" s="1079"/>
      <c r="F611" s="1079"/>
      <c r="G611" s="1079"/>
      <c r="H611" s="1079"/>
      <c r="I611" s="1077" t="s">
        <v>1592</v>
      </c>
      <c r="J611" s="1487" t="s">
        <v>48</v>
      </c>
      <c r="K611" s="1231" t="s">
        <v>1520</v>
      </c>
      <c r="L611" s="1076" t="s">
        <v>27</v>
      </c>
      <c r="M611" s="1076" t="s">
        <v>28</v>
      </c>
      <c r="N611" s="1080">
        <v>250</v>
      </c>
      <c r="O611" s="1080">
        <v>71.152000000000001</v>
      </c>
      <c r="P611" s="1080">
        <v>400</v>
      </c>
      <c r="Q611" s="1080"/>
      <c r="R611" s="1080"/>
      <c r="S611" s="1080"/>
      <c r="W611" s="33"/>
      <c r="X611" s="33"/>
      <c r="Y611" s="33"/>
    </row>
    <row r="612" spans="1:25" s="9" customFormat="1" ht="61.5" customHeight="1">
      <c r="A612" s="36"/>
      <c r="B612" s="944" t="s">
        <v>307</v>
      </c>
      <c r="C612" s="100"/>
      <c r="D612" s="100"/>
      <c r="E612" s="100"/>
      <c r="F612" s="100"/>
      <c r="G612" s="100"/>
      <c r="H612" s="100"/>
      <c r="I612" s="1399" t="s">
        <v>1005</v>
      </c>
      <c r="J612" s="1391" t="s">
        <v>48</v>
      </c>
      <c r="K612" s="274" t="s">
        <v>950</v>
      </c>
      <c r="L612" s="258" t="s">
        <v>27</v>
      </c>
      <c r="M612" s="258" t="s">
        <v>28</v>
      </c>
      <c r="N612" s="462">
        <v>8054</v>
      </c>
      <c r="O612" s="462">
        <v>8054</v>
      </c>
      <c r="P612" s="462">
        <v>0</v>
      </c>
      <c r="Q612" s="462"/>
      <c r="R612" s="462"/>
      <c r="S612" s="462"/>
      <c r="W612" s="33"/>
      <c r="X612" s="33"/>
      <c r="Y612" s="33"/>
    </row>
    <row r="613" spans="1:25" s="9" customFormat="1" ht="89.25" customHeight="1">
      <c r="A613" s="233"/>
      <c r="B613" s="1076" t="s">
        <v>898</v>
      </c>
      <c r="C613" s="1079"/>
      <c r="D613" s="1079"/>
      <c r="E613" s="1079"/>
      <c r="F613" s="1079"/>
      <c r="G613" s="1079"/>
      <c r="H613" s="1079"/>
      <c r="I613" s="1077" t="s">
        <v>1593</v>
      </c>
      <c r="J613" s="1487" t="s">
        <v>48</v>
      </c>
      <c r="K613" s="1231" t="s">
        <v>1044</v>
      </c>
      <c r="L613" s="1076" t="s">
        <v>27</v>
      </c>
      <c r="M613" s="1076" t="s">
        <v>28</v>
      </c>
      <c r="N613" s="1080">
        <v>0</v>
      </c>
      <c r="O613" s="1080">
        <v>0</v>
      </c>
      <c r="P613" s="1080">
        <f>1724.8+6234.25</f>
        <v>7959.05</v>
      </c>
      <c r="Q613" s="1080"/>
      <c r="R613" s="1080"/>
      <c r="S613" s="1080"/>
      <c r="W613" s="33"/>
      <c r="X613" s="33"/>
      <c r="Y613" s="33"/>
    </row>
    <row r="614" spans="1:25" s="9" customFormat="1" ht="111.75" customHeight="1">
      <c r="A614" s="727"/>
      <c r="B614" s="1076" t="s">
        <v>519</v>
      </c>
      <c r="C614" s="1079"/>
      <c r="D614" s="1079"/>
      <c r="E614" s="1079"/>
      <c r="F614" s="1079"/>
      <c r="G614" s="1079"/>
      <c r="H614" s="1079"/>
      <c r="I614" s="1077" t="s">
        <v>1615</v>
      </c>
      <c r="J614" s="1487" t="s">
        <v>48</v>
      </c>
      <c r="K614" s="1231" t="s">
        <v>1520</v>
      </c>
      <c r="L614" s="1076" t="s">
        <v>27</v>
      </c>
      <c r="M614" s="1076" t="s">
        <v>28</v>
      </c>
      <c r="N614" s="1080">
        <v>1415.6</v>
      </c>
      <c r="O614" s="1080">
        <v>1402.3</v>
      </c>
      <c r="P614" s="1080">
        <v>1000</v>
      </c>
      <c r="Q614" s="1080"/>
      <c r="R614" s="1080"/>
      <c r="S614" s="1080"/>
      <c r="W614" s="33"/>
      <c r="X614" s="33"/>
      <c r="Y614" s="33"/>
    </row>
    <row r="615" spans="1:25" s="9" customFormat="1" ht="77.25" customHeight="1">
      <c r="A615" s="233"/>
      <c r="B615" s="1076" t="s">
        <v>990</v>
      </c>
      <c r="C615" s="1079"/>
      <c r="D615" s="1079"/>
      <c r="E615" s="1079"/>
      <c r="F615" s="1079"/>
      <c r="G615" s="1079"/>
      <c r="H615" s="1079"/>
      <c r="I615" s="43" t="s">
        <v>1132</v>
      </c>
      <c r="J615" s="943" t="s">
        <v>48</v>
      </c>
      <c r="K615" s="45" t="s">
        <v>1581</v>
      </c>
      <c r="L615" s="1076" t="s">
        <v>27</v>
      </c>
      <c r="M615" s="1076" t="s">
        <v>28</v>
      </c>
      <c r="N615" s="1263">
        <v>56174</v>
      </c>
      <c r="O615" s="1233">
        <v>49520.417999999998</v>
      </c>
      <c r="P615" s="1233">
        <v>6653.6</v>
      </c>
      <c r="Q615" s="1233"/>
      <c r="R615" s="1233"/>
      <c r="S615" s="1233"/>
      <c r="W615" s="33"/>
      <c r="X615" s="33"/>
      <c r="Y615" s="33"/>
    </row>
    <row r="616" spans="1:25" s="9" customFormat="1" ht="86.25" customHeight="1">
      <c r="A616" s="1679"/>
      <c r="B616" s="949" t="s">
        <v>1133</v>
      </c>
      <c r="C616" s="940"/>
      <c r="D616" s="940"/>
      <c r="E616" s="940"/>
      <c r="F616" s="1585" t="s">
        <v>1305</v>
      </c>
      <c r="G616" s="1585" t="s">
        <v>1307</v>
      </c>
      <c r="H616" s="1585" t="s">
        <v>1379</v>
      </c>
      <c r="I616" s="1213" t="s">
        <v>1306</v>
      </c>
      <c r="J616" s="1213" t="s">
        <v>48</v>
      </c>
      <c r="K616" s="1213" t="s">
        <v>452</v>
      </c>
      <c r="L616" s="941" t="s">
        <v>27</v>
      </c>
      <c r="M616" s="941" t="s">
        <v>28</v>
      </c>
      <c r="N616" s="950">
        <v>29987</v>
      </c>
      <c r="O616" s="1549">
        <v>28741.295999999998</v>
      </c>
      <c r="P616" s="951">
        <v>26116.1</v>
      </c>
      <c r="Q616" s="951"/>
      <c r="R616" s="951"/>
      <c r="S616" s="951"/>
      <c r="W616" s="33"/>
      <c r="X616" s="33"/>
      <c r="Y616" s="33"/>
    </row>
    <row r="617" spans="1:25" s="9" customFormat="1" ht="54" customHeight="1">
      <c r="A617" s="1679"/>
      <c r="B617" s="388"/>
      <c r="C617" s="952"/>
      <c r="D617" s="952"/>
      <c r="E617" s="952"/>
      <c r="F617" s="1586"/>
      <c r="G617" s="1586"/>
      <c r="H617" s="1586"/>
      <c r="I617" s="1472" t="s">
        <v>1594</v>
      </c>
      <c r="J617" s="1323" t="s">
        <v>48</v>
      </c>
      <c r="K617" s="1323" t="s">
        <v>1077</v>
      </c>
      <c r="L617" s="1247"/>
      <c r="M617" s="1247"/>
      <c r="N617" s="1233"/>
      <c r="O617" s="1233"/>
      <c r="P617" s="1233"/>
      <c r="Q617" s="1233"/>
      <c r="R617" s="1233"/>
      <c r="S617" s="1233"/>
      <c r="W617" s="33"/>
      <c r="X617" s="33"/>
      <c r="Y617" s="33"/>
    </row>
    <row r="618" spans="1:25" s="9" customFormat="1" ht="77.25" customHeight="1">
      <c r="A618" s="27"/>
      <c r="B618" s="1462" t="s">
        <v>1134</v>
      </c>
      <c r="C618" s="28"/>
      <c r="D618" s="28"/>
      <c r="E618" s="28"/>
      <c r="F618" s="1585" t="s">
        <v>1305</v>
      </c>
      <c r="G618" s="1585" t="s">
        <v>1308</v>
      </c>
      <c r="H618" s="1585" t="s">
        <v>1379</v>
      </c>
      <c r="I618" s="1234" t="s">
        <v>1309</v>
      </c>
      <c r="J618" s="30" t="s">
        <v>48</v>
      </c>
      <c r="K618" s="30" t="s">
        <v>1082</v>
      </c>
      <c r="L618" s="31" t="s">
        <v>27</v>
      </c>
      <c r="M618" s="31" t="s">
        <v>28</v>
      </c>
      <c r="N618" s="32">
        <v>0</v>
      </c>
      <c r="O618" s="32">
        <v>0</v>
      </c>
      <c r="P618" s="32">
        <v>243.44499999999999</v>
      </c>
      <c r="Q618" s="32"/>
      <c r="R618" s="32"/>
      <c r="S618" s="32"/>
      <c r="W618" s="33"/>
      <c r="X618" s="33"/>
      <c r="Y618" s="33"/>
    </row>
    <row r="619" spans="1:25" s="9" customFormat="1" ht="86.25" customHeight="1">
      <c r="A619" s="27"/>
      <c r="B619" s="41" t="s">
        <v>882</v>
      </c>
      <c r="C619" s="42"/>
      <c r="D619" s="42"/>
      <c r="E619" s="42"/>
      <c r="F619" s="1586"/>
      <c r="G619" s="1586"/>
      <c r="H619" s="1586"/>
      <c r="I619" s="26" t="s">
        <v>1595</v>
      </c>
      <c r="J619" s="955" t="s">
        <v>48</v>
      </c>
      <c r="K619" s="955" t="s">
        <v>1078</v>
      </c>
      <c r="L619" s="1463" t="s">
        <v>27</v>
      </c>
      <c r="M619" s="1463" t="s">
        <v>28</v>
      </c>
      <c r="N619" s="32">
        <v>0</v>
      </c>
      <c r="O619" s="32">
        <v>0</v>
      </c>
      <c r="P619" s="32">
        <v>1011.6</v>
      </c>
      <c r="Q619" s="32"/>
      <c r="R619" s="32"/>
      <c r="S619" s="32"/>
      <c r="W619" s="33"/>
      <c r="X619" s="33"/>
      <c r="Y619" s="33"/>
    </row>
    <row r="620" spans="1:25" s="9" customFormat="1" ht="87.75" customHeight="1">
      <c r="A620" s="1489" t="s">
        <v>881</v>
      </c>
      <c r="B620" s="956" t="s">
        <v>882</v>
      </c>
      <c r="C620" s="940"/>
      <c r="D620" s="940"/>
      <c r="E620" s="940"/>
      <c r="F620" s="1685" t="s">
        <v>567</v>
      </c>
      <c r="G620" s="1634" t="s">
        <v>883</v>
      </c>
      <c r="H620" s="1634" t="s">
        <v>1372</v>
      </c>
      <c r="I620" s="1234" t="s">
        <v>956</v>
      </c>
      <c r="J620" s="1234" t="s">
        <v>48</v>
      </c>
      <c r="K620" s="1234" t="s">
        <v>851</v>
      </c>
      <c r="L620" s="1463" t="s">
        <v>27</v>
      </c>
      <c r="M620" s="1463" t="s">
        <v>28</v>
      </c>
      <c r="N620" s="424">
        <v>908.85</v>
      </c>
      <c r="O620" s="424">
        <v>908.85</v>
      </c>
      <c r="P620" s="424">
        <v>0</v>
      </c>
      <c r="Q620" s="424"/>
      <c r="R620" s="424"/>
      <c r="S620" s="424"/>
      <c r="W620" s="33"/>
      <c r="X620" s="33"/>
      <c r="Y620" s="33"/>
    </row>
    <row r="621" spans="1:25" s="9" customFormat="1" ht="74.25" customHeight="1">
      <c r="A621" s="957"/>
      <c r="B621" s="388" t="s">
        <v>299</v>
      </c>
      <c r="C621" s="952"/>
      <c r="D621" s="952"/>
      <c r="E621" s="952"/>
      <c r="F621" s="1686"/>
      <c r="G621" s="1686"/>
      <c r="H621" s="1686"/>
      <c r="I621" s="1323" t="s">
        <v>933</v>
      </c>
      <c r="J621" s="958" t="s">
        <v>48</v>
      </c>
      <c r="K621" s="958" t="s">
        <v>934</v>
      </c>
      <c r="L621" s="31" t="s">
        <v>27</v>
      </c>
      <c r="M621" s="31" t="s">
        <v>28</v>
      </c>
      <c r="N621" s="953">
        <v>144.40100000000001</v>
      </c>
      <c r="O621" s="953">
        <v>144.40100000000001</v>
      </c>
      <c r="P621" s="953">
        <v>0</v>
      </c>
      <c r="Q621" s="953"/>
      <c r="R621" s="953"/>
      <c r="S621" s="953"/>
      <c r="W621" s="33"/>
      <c r="X621" s="33"/>
      <c r="Y621" s="33"/>
    </row>
    <row r="622" spans="1:25" s="18" customFormat="1" ht="180">
      <c r="A622" s="1277" t="s">
        <v>787</v>
      </c>
      <c r="B622" s="1304">
        <v>2304</v>
      </c>
      <c r="C622" s="1077" t="s">
        <v>1433</v>
      </c>
      <c r="D622" s="1077" t="s">
        <v>1436</v>
      </c>
      <c r="E622" s="1077" t="s">
        <v>1187</v>
      </c>
      <c r="F622" s="1277" t="s">
        <v>24</v>
      </c>
      <c r="G622" s="1277" t="s">
        <v>24</v>
      </c>
      <c r="H622" s="1277" t="s">
        <v>24</v>
      </c>
      <c r="I622" s="1496"/>
      <c r="J622" s="1496"/>
      <c r="K622" s="1496"/>
      <c r="L622" s="1304"/>
      <c r="M622" s="1304"/>
      <c r="N622" s="1303">
        <f>SUM(N625:N630)</f>
        <v>59251.452999999994</v>
      </c>
      <c r="O622" s="1303">
        <f t="shared" ref="O622:S622" si="119">SUM(O625:O630)</f>
        <v>59251.452999999994</v>
      </c>
      <c r="P622" s="1303">
        <f t="shared" si="119"/>
        <v>56785.052629999998</v>
      </c>
      <c r="Q622" s="1303">
        <f t="shared" si="119"/>
        <v>14322.2</v>
      </c>
      <c r="R622" s="1303">
        <f t="shared" si="119"/>
        <v>0</v>
      </c>
      <c r="S622" s="1303">
        <f t="shared" si="119"/>
        <v>0</v>
      </c>
      <c r="W622" s="19"/>
      <c r="X622" s="19"/>
      <c r="Y622" s="19"/>
    </row>
    <row r="623" spans="1:25" s="18" customFormat="1" ht="23.25" customHeight="1">
      <c r="A623" s="1313" t="s">
        <v>788</v>
      </c>
      <c r="B623" s="1314"/>
      <c r="C623" s="1315"/>
      <c r="D623" s="1315"/>
      <c r="E623" s="1315"/>
      <c r="F623" s="1315"/>
      <c r="G623" s="1315"/>
      <c r="H623" s="1315"/>
      <c r="I623" s="1680" t="s">
        <v>1161</v>
      </c>
      <c r="J623" s="1680" t="s">
        <v>649</v>
      </c>
      <c r="K623" s="1680" t="s">
        <v>555</v>
      </c>
      <c r="L623" s="1314"/>
      <c r="M623" s="1314"/>
      <c r="N623" s="1316"/>
      <c r="O623" s="1316"/>
      <c r="P623" s="1316"/>
      <c r="Q623" s="1316"/>
      <c r="R623" s="1316"/>
      <c r="S623" s="1316"/>
      <c r="W623" s="19"/>
      <c r="X623" s="19"/>
      <c r="Y623" s="19"/>
    </row>
    <row r="624" spans="1:25" s="18" customFormat="1" ht="59.25" customHeight="1">
      <c r="A624" s="959" t="s">
        <v>1310</v>
      </c>
      <c r="B624" s="960"/>
      <c r="C624" s="961"/>
      <c r="D624" s="961"/>
      <c r="E624" s="961"/>
      <c r="F624" s="961"/>
      <c r="G624" s="961"/>
      <c r="H624" s="961"/>
      <c r="I624" s="1669"/>
      <c r="J624" s="1669"/>
      <c r="K624" s="1669"/>
      <c r="L624" s="960"/>
      <c r="M624" s="960"/>
      <c r="N624" s="962"/>
      <c r="O624" s="1508"/>
      <c r="P624" s="962"/>
      <c r="Q624" s="962"/>
      <c r="R624" s="962"/>
      <c r="S624" s="962"/>
      <c r="W624" s="19"/>
      <c r="X624" s="19"/>
      <c r="Y624" s="19"/>
    </row>
    <row r="625" spans="1:25" s="9" customFormat="1" ht="73.5" customHeight="1">
      <c r="A625" s="128" t="s">
        <v>789</v>
      </c>
      <c r="B625" s="459" t="s">
        <v>844</v>
      </c>
      <c r="C625" s="128"/>
      <c r="D625" s="128"/>
      <c r="E625" s="128"/>
      <c r="F625" s="128"/>
      <c r="G625" s="128"/>
      <c r="H625" s="128"/>
      <c r="I625" s="963" t="s">
        <v>1549</v>
      </c>
      <c r="J625" s="306" t="s">
        <v>48</v>
      </c>
      <c r="K625" s="306" t="s">
        <v>1045</v>
      </c>
      <c r="L625" s="459" t="s">
        <v>29</v>
      </c>
      <c r="M625" s="7" t="s">
        <v>30</v>
      </c>
      <c r="N625" s="314">
        <v>14734.3</v>
      </c>
      <c r="O625" s="519">
        <v>14734.3</v>
      </c>
      <c r="P625" s="314">
        <f>10000+1900+3000+3464</f>
        <v>18364</v>
      </c>
      <c r="Q625" s="314">
        <v>14322.2</v>
      </c>
      <c r="R625" s="314">
        <v>0</v>
      </c>
      <c r="S625" s="314">
        <v>0</v>
      </c>
      <c r="W625" s="33"/>
      <c r="X625" s="33"/>
      <c r="Y625" s="33"/>
    </row>
    <row r="626" spans="1:25" s="9" customFormat="1" ht="87.75" customHeight="1">
      <c r="A626" s="14"/>
      <c r="B626" s="964"/>
      <c r="C626" s="227"/>
      <c r="D626" s="227"/>
      <c r="E626" s="227"/>
      <c r="F626" s="227"/>
      <c r="G626" s="227"/>
      <c r="H626" s="227"/>
      <c r="I626" s="1264" t="s">
        <v>1311</v>
      </c>
      <c r="J626" s="1397" t="s">
        <v>48</v>
      </c>
      <c r="K626" s="1397" t="s">
        <v>57</v>
      </c>
      <c r="L626" s="1474"/>
      <c r="M626" s="1474"/>
      <c r="N626" s="1265"/>
      <c r="O626" s="1265"/>
      <c r="P626" s="1265"/>
      <c r="Q626" s="1265"/>
      <c r="R626" s="1265"/>
      <c r="S626" s="1265"/>
      <c r="W626" s="33"/>
      <c r="X626" s="33"/>
      <c r="Y626" s="33"/>
    </row>
    <row r="627" spans="1:25" s="9" customFormat="1" ht="63.75" customHeight="1">
      <c r="A627" s="1681"/>
      <c r="B627" s="965" t="s">
        <v>326</v>
      </c>
      <c r="C627" s="1457"/>
      <c r="D627" s="1457"/>
      <c r="E627" s="1457"/>
      <c r="F627" s="1590" t="s">
        <v>468</v>
      </c>
      <c r="G627" s="1590" t="s">
        <v>469</v>
      </c>
      <c r="H627" s="1590" t="s">
        <v>1372</v>
      </c>
      <c r="I627" s="1266" t="s">
        <v>1597</v>
      </c>
      <c r="J627" s="1267"/>
      <c r="K627" s="1450" t="s">
        <v>1076</v>
      </c>
      <c r="L627" s="1268" t="s">
        <v>29</v>
      </c>
      <c r="M627" s="1269" t="s">
        <v>30</v>
      </c>
      <c r="N627" s="1270">
        <v>36416.946000000004</v>
      </c>
      <c r="O627" s="1270">
        <v>36416.946000000004</v>
      </c>
      <c r="P627" s="1270">
        <f>30500+6000</f>
        <v>36500</v>
      </c>
      <c r="Q627" s="1270"/>
      <c r="R627" s="1270"/>
      <c r="S627" s="1270"/>
      <c r="W627" s="33"/>
      <c r="X627" s="33"/>
      <c r="Y627" s="33"/>
    </row>
    <row r="628" spans="1:25" s="9" customFormat="1" ht="66" customHeight="1">
      <c r="A628" s="1681"/>
      <c r="B628" s="936" t="s">
        <v>300</v>
      </c>
      <c r="C628" s="1473"/>
      <c r="D628" s="1473"/>
      <c r="E628" s="1473"/>
      <c r="F628" s="1682"/>
      <c r="G628" s="1682"/>
      <c r="H628" s="1682"/>
      <c r="I628" s="1495" t="s">
        <v>1596</v>
      </c>
      <c r="J628" s="1249" t="s">
        <v>48</v>
      </c>
      <c r="K628" s="1250" t="s">
        <v>1075</v>
      </c>
      <c r="L628" s="1076" t="s">
        <v>29</v>
      </c>
      <c r="M628" s="1076" t="s">
        <v>30</v>
      </c>
      <c r="N628" s="1271">
        <f>4335.038+1916.681</f>
        <v>6251.7189999999991</v>
      </c>
      <c r="O628" s="1550">
        <f>1916.681+4335.038</f>
        <v>6251.7189999999991</v>
      </c>
      <c r="P628" s="1550">
        <f>1605.26316+315.78947</f>
        <v>1921.0526299999999</v>
      </c>
      <c r="Q628" s="1551"/>
      <c r="R628" s="1551"/>
      <c r="S628" s="1551"/>
      <c r="W628" s="33"/>
      <c r="X628" s="33"/>
      <c r="Y628" s="33"/>
    </row>
    <row r="629" spans="1:25" s="9" customFormat="1" ht="93.75" customHeight="1">
      <c r="A629" s="1673" t="s">
        <v>918</v>
      </c>
      <c r="B629" s="966" t="s">
        <v>435</v>
      </c>
      <c r="C629" s="1474"/>
      <c r="D629" s="1474"/>
      <c r="E629" s="1474"/>
      <c r="F629" s="1683" t="s">
        <v>1312</v>
      </c>
      <c r="G629" s="1474" t="s">
        <v>1313</v>
      </c>
      <c r="H629" s="1474" t="s">
        <v>1445</v>
      </c>
      <c r="I629" s="1675" t="s">
        <v>922</v>
      </c>
      <c r="J629" s="1675" t="s">
        <v>48</v>
      </c>
      <c r="K629" s="1675" t="s">
        <v>923</v>
      </c>
      <c r="L629" s="1253" t="s">
        <v>29</v>
      </c>
      <c r="M629" s="1253" t="s">
        <v>30</v>
      </c>
      <c r="N629" s="1257">
        <v>959.94100000000003</v>
      </c>
      <c r="O629" s="1257">
        <v>959.94100000000003</v>
      </c>
      <c r="P629" s="1257">
        <v>0</v>
      </c>
      <c r="Q629" s="1257"/>
      <c r="R629" s="1257"/>
      <c r="S629" s="1257"/>
      <c r="W629" s="33"/>
      <c r="X629" s="33"/>
      <c r="Y629" s="33"/>
    </row>
    <row r="630" spans="1:25" s="9" customFormat="1" ht="54.75" customHeight="1">
      <c r="A630" s="1674"/>
      <c r="B630" s="966" t="s">
        <v>919</v>
      </c>
      <c r="C630" s="635"/>
      <c r="D630" s="635"/>
      <c r="E630" s="635"/>
      <c r="F630" s="1684"/>
      <c r="G630" s="635"/>
      <c r="H630" s="635"/>
      <c r="I630" s="1596"/>
      <c r="J630" s="1596"/>
      <c r="K630" s="1596"/>
      <c r="L630" s="966" t="s">
        <v>29</v>
      </c>
      <c r="M630" s="966" t="s">
        <v>30</v>
      </c>
      <c r="N630" s="967">
        <v>888.54700000000003</v>
      </c>
      <c r="O630" s="967">
        <v>888.54700000000003</v>
      </c>
      <c r="P630" s="967">
        <v>0</v>
      </c>
      <c r="Q630" s="967"/>
      <c r="R630" s="967"/>
      <c r="S630" s="967"/>
      <c r="W630" s="33"/>
      <c r="X630" s="33"/>
      <c r="Y630" s="33"/>
    </row>
    <row r="631" spans="1:25" s="18" customFormat="1" ht="125.25" customHeight="1">
      <c r="A631" s="968" t="s">
        <v>525</v>
      </c>
      <c r="B631" s="584" t="s">
        <v>375</v>
      </c>
      <c r="C631" s="621" t="s">
        <v>1433</v>
      </c>
      <c r="D631" s="621" t="s">
        <v>1438</v>
      </c>
      <c r="E631" s="621" t="s">
        <v>1187</v>
      </c>
      <c r="F631" s="357"/>
      <c r="G631" s="357"/>
      <c r="H631" s="969"/>
      <c r="I631" s="970"/>
      <c r="J631" s="970"/>
      <c r="K631" s="970"/>
      <c r="L631" s="971"/>
      <c r="M631" s="537"/>
      <c r="N631" s="972">
        <f t="shared" ref="N631:S631" si="120">SUM(N634:N637)</f>
        <v>12474.025000000001</v>
      </c>
      <c r="O631" s="972">
        <f t="shared" si="120"/>
        <v>3618.6</v>
      </c>
      <c r="P631" s="972">
        <f t="shared" si="120"/>
        <v>6642.3540000000003</v>
      </c>
      <c r="Q631" s="972">
        <f t="shared" si="120"/>
        <v>0</v>
      </c>
      <c r="R631" s="972">
        <f t="shared" si="120"/>
        <v>0</v>
      </c>
      <c r="S631" s="972">
        <f t="shared" si="120"/>
        <v>0</v>
      </c>
      <c r="W631" s="19"/>
      <c r="X631" s="19"/>
      <c r="Y631" s="19"/>
    </row>
    <row r="632" spans="1:25" s="18" customFormat="1" ht="24">
      <c r="A632" s="914" t="s">
        <v>658</v>
      </c>
      <c r="B632" s="229"/>
      <c r="C632" s="621"/>
      <c r="D632" s="621"/>
      <c r="E632" s="621"/>
      <c r="F632" s="104"/>
      <c r="G632" s="104"/>
      <c r="H632" s="104"/>
      <c r="I632" s="1653" t="s">
        <v>1304</v>
      </c>
      <c r="J632" s="1653" t="s">
        <v>48</v>
      </c>
      <c r="K632" s="1653" t="s">
        <v>618</v>
      </c>
      <c r="L632" s="79"/>
      <c r="M632" s="79"/>
      <c r="N632" s="715"/>
      <c r="O632" s="1536"/>
      <c r="P632" s="715"/>
      <c r="Q632" s="715"/>
      <c r="R632" s="715"/>
      <c r="S632" s="715"/>
      <c r="W632" s="19"/>
      <c r="X632" s="19"/>
      <c r="Y632" s="19"/>
    </row>
    <row r="633" spans="1:25" s="18" customFormat="1" ht="44.25" customHeight="1">
      <c r="A633" s="914" t="s">
        <v>790</v>
      </c>
      <c r="B633" s="973"/>
      <c r="C633" s="110"/>
      <c r="D633" s="110"/>
      <c r="E633" s="110"/>
      <c r="F633" s="110"/>
      <c r="G633" s="110"/>
      <c r="H633" s="110"/>
      <c r="I633" s="1678"/>
      <c r="J633" s="1678"/>
      <c r="K633" s="1678"/>
      <c r="L633" s="86"/>
      <c r="M633" s="86"/>
      <c r="N633" s="974"/>
      <c r="O633" s="1552"/>
      <c r="P633" s="974"/>
      <c r="Q633" s="974"/>
      <c r="R633" s="974"/>
      <c r="S633" s="974"/>
      <c r="W633" s="19"/>
      <c r="X633" s="19"/>
      <c r="Y633" s="19"/>
    </row>
    <row r="634" spans="1:25" s="9" customFormat="1" ht="60">
      <c r="A634" s="28" t="s">
        <v>791</v>
      </c>
      <c r="B634" s="1462" t="s">
        <v>1036</v>
      </c>
      <c r="C634" s="28"/>
      <c r="D634" s="28"/>
      <c r="E634" s="28"/>
      <c r="F634" s="28"/>
      <c r="G634" s="28"/>
      <c r="H634" s="28"/>
      <c r="I634" s="975" t="s">
        <v>939</v>
      </c>
      <c r="J634" s="29" t="s">
        <v>48</v>
      </c>
      <c r="K634" s="29" t="s">
        <v>938</v>
      </c>
      <c r="L634" s="1462" t="s">
        <v>27</v>
      </c>
      <c r="M634" s="1462" t="s">
        <v>25</v>
      </c>
      <c r="N634" s="976">
        <v>343.6</v>
      </c>
      <c r="O634" s="1503">
        <v>343.6</v>
      </c>
      <c r="P634" s="976">
        <v>0</v>
      </c>
      <c r="Q634" s="976"/>
      <c r="R634" s="976"/>
      <c r="S634" s="976"/>
      <c r="W634" s="33"/>
      <c r="X634" s="33"/>
      <c r="Y634" s="33"/>
    </row>
    <row r="635" spans="1:25" s="9" customFormat="1" ht="76.5" customHeight="1">
      <c r="A635" s="977"/>
      <c r="B635" s="978" t="s">
        <v>963</v>
      </c>
      <c r="C635" s="100"/>
      <c r="D635" s="100"/>
      <c r="E635" s="100"/>
      <c r="F635" s="977"/>
      <c r="G635" s="977"/>
      <c r="H635" s="977"/>
      <c r="I635" s="979" t="s">
        <v>966</v>
      </c>
      <c r="J635" s="390" t="s">
        <v>48</v>
      </c>
      <c r="K635" s="390" t="s">
        <v>1616</v>
      </c>
      <c r="L635" s="258" t="s">
        <v>27</v>
      </c>
      <c r="M635" s="258" t="s">
        <v>25</v>
      </c>
      <c r="N635" s="462">
        <v>1800</v>
      </c>
      <c r="O635" s="462">
        <v>1800</v>
      </c>
      <c r="P635" s="462">
        <v>0</v>
      </c>
      <c r="Q635" s="462"/>
      <c r="R635" s="462"/>
      <c r="S635" s="462"/>
      <c r="W635" s="33"/>
      <c r="X635" s="33"/>
      <c r="Y635" s="33"/>
    </row>
    <row r="636" spans="1:25" s="9" customFormat="1" ht="75" customHeight="1">
      <c r="A636" s="980" t="s">
        <v>659</v>
      </c>
      <c r="B636" s="981" t="s">
        <v>913</v>
      </c>
      <c r="C636" s="1676" t="s">
        <v>1439</v>
      </c>
      <c r="D636" s="1432" t="s">
        <v>138</v>
      </c>
      <c r="E636" s="1432" t="s">
        <v>1440</v>
      </c>
      <c r="F636" s="1610" t="s">
        <v>1314</v>
      </c>
      <c r="G636" s="1612" t="s">
        <v>48</v>
      </c>
      <c r="H636" s="1614" t="s">
        <v>509</v>
      </c>
      <c r="I636" s="982" t="s">
        <v>1688</v>
      </c>
      <c r="J636" s="1410" t="s">
        <v>48</v>
      </c>
      <c r="K636" s="1410" t="s">
        <v>1689</v>
      </c>
      <c r="L636" s="700" t="s">
        <v>16</v>
      </c>
      <c r="M636" s="700" t="s">
        <v>29</v>
      </c>
      <c r="N636" s="1272">
        <v>2736.1880000000001</v>
      </c>
      <c r="O636" s="568">
        <v>390.10899999999998</v>
      </c>
      <c r="P636" s="568">
        <v>739.25400000000002</v>
      </c>
      <c r="Q636" s="568"/>
      <c r="R636" s="568"/>
      <c r="S636" s="568"/>
      <c r="W636" s="33"/>
      <c r="X636" s="33"/>
      <c r="Y636" s="33"/>
    </row>
    <row r="637" spans="1:25" s="9" customFormat="1" ht="99.75" customHeight="1">
      <c r="A637" s="730"/>
      <c r="B637" s="981" t="s">
        <v>622</v>
      </c>
      <c r="C637" s="1677"/>
      <c r="D637" s="43"/>
      <c r="E637" s="43"/>
      <c r="F637" s="1611"/>
      <c r="G637" s="1613"/>
      <c r="H637" s="1615"/>
      <c r="I637" s="983" t="s">
        <v>507</v>
      </c>
      <c r="J637" s="1274" t="s">
        <v>48</v>
      </c>
      <c r="K637" s="1274" t="s">
        <v>453</v>
      </c>
      <c r="L637" s="1473"/>
      <c r="M637" s="1473"/>
      <c r="N637" s="1273">
        <v>7594.2370000000001</v>
      </c>
      <c r="O637" s="518">
        <v>1084.8910000000001</v>
      </c>
      <c r="P637" s="518">
        <v>5903.1</v>
      </c>
      <c r="Q637" s="518"/>
      <c r="R637" s="518"/>
      <c r="S637" s="518"/>
      <c r="W637" s="33"/>
      <c r="X637" s="33"/>
      <c r="Y637" s="33"/>
    </row>
    <row r="638" spans="1:25" s="9" customFormat="1" ht="60" customHeight="1">
      <c r="A638" s="984" t="s">
        <v>1315</v>
      </c>
      <c r="B638" s="985" t="s">
        <v>376</v>
      </c>
      <c r="C638" s="621" t="s">
        <v>1433</v>
      </c>
      <c r="D638" s="621" t="s">
        <v>1441</v>
      </c>
      <c r="E638" s="621" t="s">
        <v>1187</v>
      </c>
      <c r="F638" s="986"/>
      <c r="G638" s="986"/>
      <c r="H638" s="986"/>
      <c r="I638" s="987"/>
      <c r="J638" s="987"/>
      <c r="K638" s="988"/>
      <c r="L638" s="985" t="s">
        <v>29</v>
      </c>
      <c r="M638" s="985" t="s">
        <v>31</v>
      </c>
      <c r="N638" s="898">
        <f>SUM(N641:N642)</f>
        <v>4666.6669999999995</v>
      </c>
      <c r="O638" s="1511">
        <f t="shared" ref="O638:Q638" si="121">SUM(O641:O642)</f>
        <v>4666.6669999999995</v>
      </c>
      <c r="P638" s="898">
        <f t="shared" si="121"/>
        <v>0</v>
      </c>
      <c r="Q638" s="898">
        <f t="shared" si="121"/>
        <v>24000</v>
      </c>
      <c r="R638" s="898">
        <f t="shared" ref="R638:S638" si="122">SUM(R641:R642)</f>
        <v>0</v>
      </c>
      <c r="S638" s="898">
        <f t="shared" si="122"/>
        <v>0</v>
      </c>
      <c r="W638" s="33"/>
      <c r="X638" s="33"/>
      <c r="Y638" s="33"/>
    </row>
    <row r="639" spans="1:25" s="9" customFormat="1" ht="12.75" customHeight="1">
      <c r="A639" s="989" t="s">
        <v>792</v>
      </c>
      <c r="B639" s="990"/>
      <c r="C639" s="110"/>
      <c r="D639" s="110"/>
      <c r="E639" s="110"/>
      <c r="F639" s="110"/>
      <c r="G639" s="110"/>
      <c r="H639" s="110"/>
      <c r="I639" s="1606" t="s">
        <v>1161</v>
      </c>
      <c r="J639" s="1606" t="s">
        <v>641</v>
      </c>
      <c r="K639" s="1606" t="s">
        <v>555</v>
      </c>
      <c r="L639" s="95"/>
      <c r="M639" s="95"/>
      <c r="N639" s="715"/>
      <c r="O639" s="1511"/>
      <c r="P639" s="715"/>
      <c r="Q639" s="715"/>
      <c r="R639" s="715"/>
      <c r="S639" s="715"/>
      <c r="W639" s="33"/>
      <c r="X639" s="33"/>
      <c r="Y639" s="33"/>
    </row>
    <row r="640" spans="1:25" s="9" customFormat="1" ht="66" customHeight="1">
      <c r="A640" s="989" t="s">
        <v>1316</v>
      </c>
      <c r="B640" s="990"/>
      <c r="C640" s="110"/>
      <c r="D640" s="110"/>
      <c r="E640" s="110"/>
      <c r="F640" s="110"/>
      <c r="G640" s="110"/>
      <c r="H640" s="110"/>
      <c r="I640" s="1607"/>
      <c r="J640" s="1607"/>
      <c r="K640" s="1607"/>
      <c r="L640" s="718"/>
      <c r="M640" s="718"/>
      <c r="N640" s="974"/>
      <c r="O640" s="1552"/>
      <c r="P640" s="974"/>
      <c r="Q640" s="974"/>
      <c r="R640" s="974"/>
      <c r="S640" s="974"/>
      <c r="W640" s="33"/>
      <c r="X640" s="33"/>
      <c r="Y640" s="33"/>
    </row>
    <row r="641" spans="1:25" s="9" customFormat="1" ht="78" customHeight="1">
      <c r="A641" s="1640" t="s">
        <v>793</v>
      </c>
      <c r="B641" s="991" t="s">
        <v>836</v>
      </c>
      <c r="C641" s="1642"/>
      <c r="D641" s="1642"/>
      <c r="E641" s="1642"/>
      <c r="F641" s="1634" t="s">
        <v>468</v>
      </c>
      <c r="G641" s="1634" t="s">
        <v>470</v>
      </c>
      <c r="H641" s="1634" t="s">
        <v>1379</v>
      </c>
      <c r="I641" s="992" t="s">
        <v>997</v>
      </c>
      <c r="J641" s="992" t="s">
        <v>48</v>
      </c>
      <c r="K641" s="992" t="s">
        <v>980</v>
      </c>
      <c r="L641" s="1660"/>
      <c r="M641" s="1662"/>
      <c r="N641" s="568">
        <v>1166.6669999999999</v>
      </c>
      <c r="O641" s="568">
        <v>1166.6669999999999</v>
      </c>
      <c r="P641" s="568">
        <v>0</v>
      </c>
      <c r="Q641" s="568">
        <v>24000</v>
      </c>
      <c r="R641" s="568">
        <v>0</v>
      </c>
      <c r="S641" s="568">
        <v>0</v>
      </c>
      <c r="W641" s="33"/>
      <c r="X641" s="33"/>
      <c r="Y641" s="33"/>
    </row>
    <row r="642" spans="1:25" s="9" customFormat="1" ht="111" customHeight="1">
      <c r="A642" s="1641"/>
      <c r="B642" s="993" t="s">
        <v>338</v>
      </c>
      <c r="C642" s="1643"/>
      <c r="D642" s="1643"/>
      <c r="E642" s="1643"/>
      <c r="F642" s="1659"/>
      <c r="G642" s="1659"/>
      <c r="H642" s="1659"/>
      <c r="I642" s="1470" t="s">
        <v>979</v>
      </c>
      <c r="J642" s="994" t="s">
        <v>48</v>
      </c>
      <c r="K642" s="1470" t="s">
        <v>892</v>
      </c>
      <c r="L642" s="1661"/>
      <c r="M642" s="1663"/>
      <c r="N642" s="995">
        <v>3500</v>
      </c>
      <c r="O642" s="1553">
        <v>3500</v>
      </c>
      <c r="P642" s="1554">
        <v>0</v>
      </c>
      <c r="Q642" s="1554"/>
      <c r="R642" s="1554"/>
      <c r="S642" s="1554"/>
      <c r="W642" s="33"/>
      <c r="X642" s="33"/>
      <c r="Y642" s="33"/>
    </row>
    <row r="643" spans="1:25" s="18" customFormat="1" ht="72">
      <c r="A643" s="996" t="s">
        <v>539</v>
      </c>
      <c r="B643" s="997" t="s">
        <v>842</v>
      </c>
      <c r="C643" s="621" t="s">
        <v>1433</v>
      </c>
      <c r="D643" s="621" t="s">
        <v>1441</v>
      </c>
      <c r="E643" s="621" t="s">
        <v>1187</v>
      </c>
      <c r="F643" s="998"/>
      <c r="G643" s="998"/>
      <c r="H643" s="998"/>
      <c r="I643" s="999"/>
      <c r="J643" s="999"/>
      <c r="K643" s="1000"/>
      <c r="L643" s="997" t="s">
        <v>29</v>
      </c>
      <c r="M643" s="997" t="s">
        <v>31</v>
      </c>
      <c r="N643" s="1001">
        <f>SUM(N644:N653)</f>
        <v>22946.855</v>
      </c>
      <c r="O643" s="1001">
        <f t="shared" ref="O643:S643" si="123">SUM(O644:O653)</f>
        <v>22946.855</v>
      </c>
      <c r="P643" s="1001">
        <f>P646</f>
        <v>24000</v>
      </c>
      <c r="Q643" s="1001">
        <f t="shared" si="123"/>
        <v>0</v>
      </c>
      <c r="R643" s="1001">
        <f t="shared" si="123"/>
        <v>0</v>
      </c>
      <c r="S643" s="1001">
        <f t="shared" si="123"/>
        <v>0</v>
      </c>
      <c r="W643" s="19"/>
      <c r="X643" s="19"/>
      <c r="Y643" s="19"/>
    </row>
    <row r="644" spans="1:25" s="18" customFormat="1" ht="13.5" customHeight="1">
      <c r="A644" s="989" t="s">
        <v>794</v>
      </c>
      <c r="B644" s="997"/>
      <c r="C644" s="998"/>
      <c r="D644" s="998"/>
      <c r="E644" s="998"/>
      <c r="F644" s="998"/>
      <c r="G644" s="998"/>
      <c r="H644" s="998"/>
      <c r="I644" s="1606" t="s">
        <v>1161</v>
      </c>
      <c r="J644" s="1606" t="s">
        <v>641</v>
      </c>
      <c r="K644" s="1606" t="s">
        <v>555</v>
      </c>
      <c r="L644" s="1002"/>
      <c r="M644" s="1002"/>
      <c r="N644" s="1003"/>
      <c r="O644" s="40"/>
      <c r="P644" s="1003"/>
      <c r="Q644" s="1003"/>
      <c r="R644" s="1003"/>
      <c r="S644" s="1003"/>
      <c r="W644" s="19"/>
      <c r="X644" s="19"/>
      <c r="Y644" s="19"/>
    </row>
    <row r="645" spans="1:25" s="18" customFormat="1" ht="61.5" customHeight="1">
      <c r="A645" s="989" t="s">
        <v>1317</v>
      </c>
      <c r="B645" s="997"/>
      <c r="C645" s="998"/>
      <c r="D645" s="998"/>
      <c r="E645" s="998"/>
      <c r="F645" s="998"/>
      <c r="G645" s="998"/>
      <c r="H645" s="998"/>
      <c r="I645" s="1607"/>
      <c r="J645" s="1607"/>
      <c r="K645" s="1607"/>
      <c r="L645" s="103"/>
      <c r="M645" s="103"/>
      <c r="N645" s="89"/>
      <c r="O645" s="424"/>
      <c r="P645" s="89"/>
      <c r="Q645" s="89"/>
      <c r="R645" s="89"/>
      <c r="S645" s="89"/>
      <c r="W645" s="19"/>
      <c r="X645" s="19"/>
      <c r="Y645" s="19"/>
    </row>
    <row r="646" spans="1:25" s="18" customFormat="1" ht="64.5" customHeight="1">
      <c r="A646" s="85" t="s">
        <v>795</v>
      </c>
      <c r="B646" s="1004" t="s">
        <v>843</v>
      </c>
      <c r="C646" s="998"/>
      <c r="D646" s="998"/>
      <c r="E646" s="998"/>
      <c r="F646" s="998"/>
      <c r="G646" s="998"/>
      <c r="H646" s="998"/>
      <c r="I646" s="50" t="s">
        <v>1617</v>
      </c>
      <c r="J646" s="50" t="s">
        <v>48</v>
      </c>
      <c r="K646" s="50" t="s">
        <v>1618</v>
      </c>
      <c r="L646" s="1004"/>
      <c r="M646" s="1004"/>
      <c r="N646" s="1005">
        <v>22946.855</v>
      </c>
      <c r="O646" s="568">
        <v>22946.855</v>
      </c>
      <c r="P646" s="1005">
        <f>24000</f>
        <v>24000</v>
      </c>
      <c r="Q646" s="1005"/>
      <c r="R646" s="1005"/>
      <c r="S646" s="1005"/>
      <c r="W646" s="19"/>
      <c r="X646" s="19"/>
      <c r="Y646" s="19"/>
    </row>
    <row r="647" spans="1:25" s="9" customFormat="1" ht="76.5" customHeight="1">
      <c r="A647" s="104" t="s">
        <v>377</v>
      </c>
      <c r="B647" s="229" t="s">
        <v>378</v>
      </c>
      <c r="C647" s="621" t="s">
        <v>1433</v>
      </c>
      <c r="D647" s="621" t="s">
        <v>1514</v>
      </c>
      <c r="E647" s="621" t="s">
        <v>1187</v>
      </c>
      <c r="F647" s="104"/>
      <c r="G647" s="104"/>
      <c r="H647" s="104"/>
      <c r="I647" s="50"/>
      <c r="J647" s="50"/>
      <c r="K647" s="50"/>
      <c r="L647" s="229"/>
      <c r="M647" s="229"/>
      <c r="N647" s="109">
        <f t="shared" ref="N647:Q647" si="124">SUM(N650:N651)</f>
        <v>0</v>
      </c>
      <c r="O647" s="109">
        <f t="shared" si="124"/>
        <v>0</v>
      </c>
      <c r="P647" s="109">
        <f>SUM(P650:P651)</f>
        <v>571.83000000000004</v>
      </c>
      <c r="Q647" s="109">
        <f t="shared" si="124"/>
        <v>0</v>
      </c>
      <c r="R647" s="109">
        <f t="shared" ref="R647:S647" si="125">SUM(R650:R651)</f>
        <v>0</v>
      </c>
      <c r="S647" s="109">
        <f t="shared" si="125"/>
        <v>0</v>
      </c>
      <c r="W647" s="33"/>
      <c r="X647" s="33"/>
      <c r="Y647" s="33"/>
    </row>
    <row r="648" spans="1:25" s="18" customFormat="1" ht="24">
      <c r="A648" s="1359" t="s">
        <v>1690</v>
      </c>
      <c r="B648" s="1304"/>
      <c r="C648" s="1277"/>
      <c r="D648" s="1277"/>
      <c r="E648" s="1277"/>
      <c r="F648" s="1277"/>
      <c r="G648" s="1277"/>
      <c r="H648" s="1277"/>
      <c r="I648" s="1487"/>
      <c r="J648" s="1487"/>
      <c r="K648" s="1487"/>
      <c r="L648" s="1349"/>
      <c r="M648" s="1349"/>
      <c r="N648" s="1303"/>
      <c r="O648" s="1303"/>
      <c r="P648" s="1303"/>
      <c r="Q648" s="1303"/>
      <c r="R648" s="1303"/>
      <c r="S648" s="1303"/>
      <c r="W648" s="19"/>
      <c r="X648" s="19"/>
      <c r="Y648" s="19"/>
    </row>
    <row r="649" spans="1:25" s="18" customFormat="1" ht="76.5" customHeight="1">
      <c r="A649" s="1359" t="s">
        <v>1691</v>
      </c>
      <c r="B649" s="1304"/>
      <c r="C649" s="1277"/>
      <c r="D649" s="1277"/>
      <c r="E649" s="1277"/>
      <c r="F649" s="1277"/>
      <c r="G649" s="1277"/>
      <c r="H649" s="1277"/>
      <c r="I649" s="1360" t="s">
        <v>1565</v>
      </c>
      <c r="J649" s="1361" t="s">
        <v>649</v>
      </c>
      <c r="K649" s="1362" t="s">
        <v>555</v>
      </c>
      <c r="L649" s="1363"/>
      <c r="M649" s="1363"/>
      <c r="N649" s="1364"/>
      <c r="O649" s="1364"/>
      <c r="P649" s="1364"/>
      <c r="Q649" s="1364"/>
      <c r="R649" s="1364"/>
      <c r="S649" s="1364"/>
      <c r="W649" s="19"/>
      <c r="X649" s="19"/>
      <c r="Y649" s="19"/>
    </row>
    <row r="650" spans="1:25" s="9" customFormat="1" ht="60" customHeight="1">
      <c r="A650" s="2" t="s">
        <v>1512</v>
      </c>
      <c r="B650" s="567" t="s">
        <v>1513</v>
      </c>
      <c r="C650" s="621"/>
      <c r="D650" s="2"/>
      <c r="E650" s="2"/>
      <c r="F650" s="2"/>
      <c r="G650" s="2"/>
      <c r="H650" s="2"/>
      <c r="I650" s="50" t="s">
        <v>1510</v>
      </c>
      <c r="J650" s="50" t="s">
        <v>48</v>
      </c>
      <c r="K650" s="50" t="s">
        <v>1511</v>
      </c>
      <c r="L650" s="567" t="s">
        <v>32</v>
      </c>
      <c r="M650" s="567" t="s">
        <v>16</v>
      </c>
      <c r="N650" s="568">
        <v>0</v>
      </c>
      <c r="O650" s="568">
        <v>0</v>
      </c>
      <c r="P650" s="568">
        <v>571.83000000000004</v>
      </c>
      <c r="Q650" s="568"/>
      <c r="R650" s="568"/>
      <c r="S650" s="568"/>
      <c r="W650" s="33"/>
      <c r="X650" s="33"/>
      <c r="Y650" s="33"/>
    </row>
    <row r="651" spans="1:25" s="9" customFormat="1" ht="12" hidden="1">
      <c r="A651" s="2"/>
      <c r="B651" s="567"/>
      <c r="C651" s="2"/>
      <c r="D651" s="2"/>
      <c r="E651" s="2"/>
      <c r="F651" s="2"/>
      <c r="G651" s="2"/>
      <c r="H651" s="2"/>
      <c r="I651" s="693"/>
      <c r="J651" s="693"/>
      <c r="K651" s="693"/>
      <c r="L651" s="567"/>
      <c r="M651" s="567"/>
      <c r="N651" s="568"/>
      <c r="O651" s="568"/>
      <c r="P651" s="568"/>
      <c r="Q651" s="568"/>
      <c r="R651" s="568"/>
      <c r="S651" s="568"/>
      <c r="W651" s="33"/>
      <c r="X651" s="33"/>
      <c r="Y651" s="33"/>
    </row>
    <row r="652" spans="1:25" s="9" customFormat="1" ht="12" hidden="1">
      <c r="A652" s="931"/>
      <c r="B652" s="567"/>
      <c r="C652" s="2"/>
      <c r="D652" s="2"/>
      <c r="E652" s="2"/>
      <c r="F652" s="2"/>
      <c r="G652" s="2"/>
      <c r="H652" s="2"/>
      <c r="I652" s="50"/>
      <c r="J652" s="50"/>
      <c r="K652" s="50"/>
      <c r="L652" s="567"/>
      <c r="M652" s="567"/>
      <c r="N652" s="568"/>
      <c r="O652" s="568"/>
      <c r="P652" s="568"/>
      <c r="Q652" s="568"/>
      <c r="R652" s="568"/>
      <c r="S652" s="568"/>
      <c r="W652" s="33"/>
      <c r="X652" s="33"/>
      <c r="Y652" s="33"/>
    </row>
    <row r="653" spans="1:25" s="9" customFormat="1" ht="12" hidden="1">
      <c r="A653" s="28"/>
      <c r="B653" s="1004"/>
      <c r="C653" s="2"/>
      <c r="D653" s="2"/>
      <c r="E653" s="2"/>
      <c r="F653" s="2"/>
      <c r="G653" s="2"/>
      <c r="H653" s="2"/>
      <c r="I653" s="50"/>
      <c r="J653" s="50"/>
      <c r="K653" s="50"/>
      <c r="L653" s="567"/>
      <c r="M653" s="567"/>
      <c r="N653" s="568"/>
      <c r="O653" s="568"/>
      <c r="P653" s="568"/>
      <c r="Q653" s="568"/>
      <c r="R653" s="568"/>
      <c r="S653" s="568"/>
      <c r="W653" s="33"/>
      <c r="X653" s="33"/>
      <c r="Y653" s="33"/>
    </row>
    <row r="654" spans="1:25" s="18" customFormat="1" ht="84">
      <c r="A654" s="996" t="s">
        <v>1318</v>
      </c>
      <c r="B654" s="105">
        <v>2313</v>
      </c>
      <c r="C654" s="621" t="s">
        <v>1433</v>
      </c>
      <c r="D654" s="621" t="s">
        <v>1437</v>
      </c>
      <c r="E654" s="621" t="s">
        <v>1187</v>
      </c>
      <c r="F654" s="621" t="s">
        <v>1368</v>
      </c>
      <c r="G654" s="621" t="s">
        <v>1359</v>
      </c>
      <c r="H654" s="621" t="s">
        <v>1369</v>
      </c>
      <c r="I654" s="104" t="s">
        <v>24</v>
      </c>
      <c r="J654" s="104" t="s">
        <v>24</v>
      </c>
      <c r="K654" s="104" t="s">
        <v>24</v>
      </c>
      <c r="L654" s="105" t="s">
        <v>32</v>
      </c>
      <c r="M654" s="105">
        <v>10</v>
      </c>
      <c r="N654" s="109">
        <f>SUM(N656:N656)</f>
        <v>9403.7000000000007</v>
      </c>
      <c r="O654" s="109">
        <f t="shared" ref="O654:Q654" si="126">SUM(O656:O656)</f>
        <v>9403.6380000000008</v>
      </c>
      <c r="P654" s="109">
        <f>SUM(P656:P656)</f>
        <v>0</v>
      </c>
      <c r="Q654" s="109">
        <f t="shared" si="126"/>
        <v>0</v>
      </c>
      <c r="R654" s="109">
        <f t="shared" ref="R654:S654" si="127">SUM(R656:R656)</f>
        <v>0</v>
      </c>
      <c r="S654" s="109">
        <f t="shared" si="127"/>
        <v>0</v>
      </c>
      <c r="W654" s="19"/>
      <c r="X654" s="19"/>
      <c r="Y654" s="19"/>
    </row>
    <row r="655" spans="1:25" s="18" customFormat="1" ht="12">
      <c r="A655" s="1006" t="s">
        <v>796</v>
      </c>
      <c r="B655" s="1007"/>
      <c r="C655" s="1008"/>
      <c r="D655" s="1008"/>
      <c r="E655" s="1008"/>
      <c r="F655" s="1008"/>
      <c r="G655" s="1008"/>
      <c r="H655" s="1008"/>
      <c r="I655" s="1008"/>
      <c r="J655" s="1008"/>
      <c r="K655" s="1008"/>
      <c r="L655" s="1007"/>
      <c r="M655" s="1007"/>
      <c r="N655" s="1009"/>
      <c r="O655" s="1511"/>
      <c r="P655" s="1009"/>
      <c r="Q655" s="1009"/>
      <c r="R655" s="1009"/>
      <c r="S655" s="1009"/>
      <c r="W655" s="19"/>
      <c r="X655" s="19"/>
      <c r="Y655" s="19"/>
    </row>
    <row r="656" spans="1:25" s="9" customFormat="1" ht="75.75" customHeight="1">
      <c r="A656" s="270" t="s">
        <v>797</v>
      </c>
      <c r="B656" s="803" t="s">
        <v>942</v>
      </c>
      <c r="C656" s="621" t="s">
        <v>1442</v>
      </c>
      <c r="D656" s="621" t="s">
        <v>421</v>
      </c>
      <c r="E656" s="621" t="s">
        <v>1443</v>
      </c>
      <c r="F656" s="1608" t="s">
        <v>1319</v>
      </c>
      <c r="G656" s="1010" t="s">
        <v>419</v>
      </c>
      <c r="H656" s="1010" t="s">
        <v>316</v>
      </c>
      <c r="I656" s="1011" t="s">
        <v>947</v>
      </c>
      <c r="J656" s="1011" t="s">
        <v>48</v>
      </c>
      <c r="K656" s="1011" t="s">
        <v>946</v>
      </c>
      <c r="L656" s="803"/>
      <c r="M656" s="803"/>
      <c r="N656" s="804">
        <v>9403.7000000000007</v>
      </c>
      <c r="O656" s="40">
        <v>9403.6380000000008</v>
      </c>
      <c r="P656" s="804">
        <v>0</v>
      </c>
      <c r="Q656" s="804"/>
      <c r="R656" s="804"/>
      <c r="S656" s="804"/>
      <c r="W656" s="33"/>
      <c r="X656" s="33"/>
      <c r="Y656" s="33"/>
    </row>
    <row r="657" spans="1:25" s="9" customFormat="1" ht="54.75" customHeight="1">
      <c r="A657" s="1012"/>
      <c r="B657" s="893"/>
      <c r="C657" s="1013"/>
      <c r="D657" s="1013"/>
      <c r="E657" s="1013"/>
      <c r="F657" s="1609"/>
      <c r="G657" s="1014"/>
      <c r="H657" s="1014"/>
      <c r="I657" s="174" t="s">
        <v>951</v>
      </c>
      <c r="J657" s="1015" t="s">
        <v>48</v>
      </c>
      <c r="K657" s="1015" t="s">
        <v>952</v>
      </c>
      <c r="L657" s="893"/>
      <c r="M657" s="893"/>
      <c r="N657" s="1016"/>
      <c r="O657" s="424"/>
      <c r="P657" s="1016"/>
      <c r="Q657" s="1016"/>
      <c r="R657" s="1016"/>
      <c r="S657" s="1016"/>
      <c r="W657" s="33"/>
      <c r="X657" s="33"/>
      <c r="Y657" s="33"/>
    </row>
    <row r="658" spans="1:25" s="18" customFormat="1" ht="45" customHeight="1">
      <c r="A658" s="1008" t="s">
        <v>798</v>
      </c>
      <c r="B658" s="1007">
        <v>2314</v>
      </c>
      <c r="C658" s="621" t="s">
        <v>1433</v>
      </c>
      <c r="D658" s="621" t="s">
        <v>1444</v>
      </c>
      <c r="E658" s="621" t="s">
        <v>1187</v>
      </c>
      <c r="F658" s="1008" t="s">
        <v>24</v>
      </c>
      <c r="G658" s="1008" t="s">
        <v>24</v>
      </c>
      <c r="H658" s="1008" t="s">
        <v>24</v>
      </c>
      <c r="I658" s="1017"/>
      <c r="J658" s="1018"/>
      <c r="K658" s="1019"/>
      <c r="L658" s="229" t="s">
        <v>32</v>
      </c>
      <c r="M658" s="229" t="s">
        <v>16</v>
      </c>
      <c r="N658" s="109">
        <f t="shared" ref="N658:S658" si="128">SUM(N661:N665)</f>
        <v>1176.675</v>
      </c>
      <c r="O658" s="109">
        <f t="shared" si="128"/>
        <v>1176.675</v>
      </c>
      <c r="P658" s="109">
        <f t="shared" si="128"/>
        <v>2439.1</v>
      </c>
      <c r="Q658" s="109">
        <f t="shared" si="128"/>
        <v>0</v>
      </c>
      <c r="R658" s="109">
        <f t="shared" si="128"/>
        <v>0</v>
      </c>
      <c r="S658" s="109">
        <f t="shared" si="128"/>
        <v>0</v>
      </c>
      <c r="W658" s="19"/>
      <c r="X658" s="19"/>
      <c r="Y658" s="19"/>
    </row>
    <row r="659" spans="1:25" s="18" customFormat="1" ht="24">
      <c r="A659" s="1020" t="s">
        <v>799</v>
      </c>
      <c r="B659" s="998"/>
      <c r="C659" s="996"/>
      <c r="D659" s="996"/>
      <c r="E659" s="996"/>
      <c r="F659" s="996"/>
      <c r="G659" s="996"/>
      <c r="H659" s="996"/>
      <c r="I659" s="1021"/>
      <c r="J659" s="1021"/>
      <c r="K659" s="1021"/>
      <c r="L659" s="997"/>
      <c r="M659" s="997"/>
      <c r="N659" s="1001"/>
      <c r="O659" s="109"/>
      <c r="P659" s="1001"/>
      <c r="Q659" s="1001"/>
      <c r="R659" s="1001"/>
      <c r="S659" s="1001"/>
      <c r="W659" s="19"/>
      <c r="X659" s="19"/>
      <c r="Y659" s="19"/>
    </row>
    <row r="660" spans="1:25" s="18" customFormat="1" ht="74.25" customHeight="1">
      <c r="A660" s="1020" t="s">
        <v>1619</v>
      </c>
      <c r="B660" s="998"/>
      <c r="C660" s="996"/>
      <c r="D660" s="996"/>
      <c r="E660" s="996"/>
      <c r="F660" s="996"/>
      <c r="G660" s="996"/>
      <c r="H660" s="996"/>
      <c r="I660" s="1017" t="s">
        <v>1565</v>
      </c>
      <c r="J660" s="1018" t="s">
        <v>641</v>
      </c>
      <c r="K660" s="1019" t="s">
        <v>555</v>
      </c>
      <c r="L660" s="997"/>
      <c r="M660" s="997"/>
      <c r="N660" s="1001"/>
      <c r="O660" s="109"/>
      <c r="P660" s="1001"/>
      <c r="Q660" s="1001"/>
      <c r="R660" s="1001"/>
      <c r="S660" s="1001"/>
      <c r="W660" s="19"/>
      <c r="X660" s="19"/>
      <c r="Y660" s="19"/>
    </row>
    <row r="661" spans="1:25" s="9" customFormat="1" ht="60">
      <c r="A661" s="1022" t="s">
        <v>800</v>
      </c>
      <c r="B661" s="567" t="s">
        <v>610</v>
      </c>
      <c r="C661" s="2"/>
      <c r="D661" s="2"/>
      <c r="E661" s="2"/>
      <c r="F661" s="2"/>
      <c r="G661" s="2"/>
      <c r="H661" s="2"/>
      <c r="I661" s="911" t="s">
        <v>1056</v>
      </c>
      <c r="J661" s="911" t="s">
        <v>48</v>
      </c>
      <c r="K661" s="911" t="s">
        <v>1057</v>
      </c>
      <c r="L661" s="567"/>
      <c r="M661" s="567"/>
      <c r="N661" s="568">
        <v>617</v>
      </c>
      <c r="O661" s="568">
        <v>617</v>
      </c>
      <c r="P661" s="568">
        <v>617</v>
      </c>
      <c r="Q661" s="568"/>
      <c r="R661" s="568"/>
      <c r="S661" s="568"/>
      <c r="W661" s="33"/>
      <c r="X661" s="33"/>
      <c r="Y661" s="33"/>
    </row>
    <row r="662" spans="1:25" s="9" customFormat="1" ht="64.5" customHeight="1">
      <c r="A662" s="34"/>
      <c r="B662" s="1023" t="s">
        <v>1320</v>
      </c>
      <c r="C662" s="1022"/>
      <c r="D662" s="1022"/>
      <c r="E662" s="1022"/>
      <c r="F662" s="1022"/>
      <c r="G662" s="1022"/>
      <c r="H662" s="1022"/>
      <c r="I662" s="230" t="s">
        <v>1135</v>
      </c>
      <c r="J662" s="230" t="s">
        <v>48</v>
      </c>
      <c r="K662" s="231" t="s">
        <v>1081</v>
      </c>
      <c r="L662" s="1023"/>
      <c r="M662" s="1023"/>
      <c r="N662" s="1024">
        <v>0</v>
      </c>
      <c r="O662" s="40">
        <v>0</v>
      </c>
      <c r="P662" s="1024">
        <v>600</v>
      </c>
      <c r="Q662" s="1024"/>
      <c r="R662" s="1024"/>
      <c r="S662" s="1024"/>
      <c r="W662" s="33"/>
      <c r="X662" s="33"/>
      <c r="Y662" s="33"/>
    </row>
    <row r="663" spans="1:25" s="9" customFormat="1" ht="62.25" customHeight="1">
      <c r="A663" s="977"/>
      <c r="B663" s="1025" t="s">
        <v>899</v>
      </c>
      <c r="C663" s="1026"/>
      <c r="D663" s="1026"/>
      <c r="E663" s="1026"/>
      <c r="F663" s="1026"/>
      <c r="G663" s="1026"/>
      <c r="H663" s="1026"/>
      <c r="I663" s="1027" t="s">
        <v>902</v>
      </c>
      <c r="J663" s="1027" t="s">
        <v>48</v>
      </c>
      <c r="K663" s="1028" t="s">
        <v>903</v>
      </c>
      <c r="L663" s="1025"/>
      <c r="M663" s="1025"/>
      <c r="N663" s="1029">
        <v>39.9</v>
      </c>
      <c r="O663" s="40">
        <v>39.9</v>
      </c>
      <c r="P663" s="1029">
        <v>0</v>
      </c>
      <c r="Q663" s="1029"/>
      <c r="R663" s="1029"/>
      <c r="S663" s="1029"/>
      <c r="W663" s="33"/>
      <c r="X663" s="33"/>
      <c r="Y663" s="33"/>
    </row>
    <row r="664" spans="1:25" s="9" customFormat="1" ht="61.5" customHeight="1">
      <c r="A664" s="1489" t="s">
        <v>801</v>
      </c>
      <c r="B664" s="1030" t="s">
        <v>325</v>
      </c>
      <c r="C664" s="1031"/>
      <c r="D664" s="1031"/>
      <c r="E664" s="1031"/>
      <c r="F664" s="1031"/>
      <c r="G664" s="1031"/>
      <c r="H664" s="1031"/>
      <c r="I664" s="26" t="s">
        <v>1058</v>
      </c>
      <c r="J664" s="510" t="s">
        <v>48</v>
      </c>
      <c r="K664" s="511" t="s">
        <v>1057</v>
      </c>
      <c r="L664" s="1030"/>
      <c r="M664" s="1030"/>
      <c r="N664" s="1032">
        <v>334</v>
      </c>
      <c r="O664" s="40">
        <v>334</v>
      </c>
      <c r="P664" s="1032">
        <v>340</v>
      </c>
      <c r="Q664" s="1032"/>
      <c r="R664" s="1032"/>
      <c r="S664" s="1032"/>
      <c r="W664" s="33"/>
      <c r="X664" s="33"/>
      <c r="Y664" s="33"/>
    </row>
    <row r="665" spans="1:25" s="9" customFormat="1" ht="63.75" customHeight="1">
      <c r="A665" s="1489" t="s">
        <v>840</v>
      </c>
      <c r="B665" s="567" t="s">
        <v>920</v>
      </c>
      <c r="C665" s="2"/>
      <c r="D665" s="2"/>
      <c r="E665" s="2"/>
      <c r="F665" s="2"/>
      <c r="G665" s="2"/>
      <c r="H665" s="2"/>
      <c r="I665" s="230" t="s">
        <v>1515</v>
      </c>
      <c r="J665" s="230" t="s">
        <v>48</v>
      </c>
      <c r="K665" s="231" t="s">
        <v>1516</v>
      </c>
      <c r="L665" s="567"/>
      <c r="M665" s="567"/>
      <c r="N665" s="568">
        <v>185.77500000000001</v>
      </c>
      <c r="O665" s="568">
        <v>185.77500000000001</v>
      </c>
      <c r="P665" s="568">
        <v>882.1</v>
      </c>
      <c r="Q665" s="568"/>
      <c r="R665" s="568"/>
      <c r="S665" s="568"/>
      <c r="W665" s="33"/>
      <c r="X665" s="33"/>
      <c r="Y665" s="33"/>
    </row>
    <row r="666" spans="1:25" s="18" customFormat="1" ht="63.75" customHeight="1">
      <c r="A666" s="996" t="s">
        <v>802</v>
      </c>
      <c r="B666" s="998">
        <v>2320</v>
      </c>
      <c r="C666" s="1275" t="s">
        <v>323</v>
      </c>
      <c r="D666" s="1275" t="s">
        <v>324</v>
      </c>
      <c r="E666" s="1275" t="s">
        <v>1159</v>
      </c>
      <c r="F666" s="996"/>
      <c r="G666" s="996"/>
      <c r="H666" s="996"/>
      <c r="I666" s="999"/>
      <c r="J666" s="999"/>
      <c r="K666" s="999"/>
      <c r="L666" s="960" t="s">
        <v>17</v>
      </c>
      <c r="M666" s="960" t="s">
        <v>25</v>
      </c>
      <c r="N666" s="1001">
        <f t="shared" ref="N666:S666" si="129">SUM(N667:N672)</f>
        <v>10097.700000000001</v>
      </c>
      <c r="O666" s="1001">
        <f t="shared" si="129"/>
        <v>10097.700000000001</v>
      </c>
      <c r="P666" s="1001">
        <f>SUM(P667:P672)</f>
        <v>11879.300000000001</v>
      </c>
      <c r="Q666" s="1001">
        <f t="shared" si="129"/>
        <v>0</v>
      </c>
      <c r="R666" s="1001">
        <f t="shared" si="129"/>
        <v>0</v>
      </c>
      <c r="S666" s="1001">
        <f t="shared" si="129"/>
        <v>0</v>
      </c>
      <c r="W666" s="19"/>
      <c r="X666" s="19"/>
      <c r="Y666" s="19"/>
    </row>
    <row r="667" spans="1:25" s="9" customFormat="1" ht="27.75" customHeight="1">
      <c r="A667" s="1020" t="s">
        <v>803</v>
      </c>
      <c r="B667" s="1035"/>
      <c r="C667" s="1653"/>
      <c r="D667" s="1653"/>
      <c r="E667" s="1653"/>
      <c r="F667" s="1653" t="s">
        <v>471</v>
      </c>
      <c r="G667" s="1608" t="s">
        <v>1321</v>
      </c>
      <c r="H667" s="1608" t="s">
        <v>87</v>
      </c>
      <c r="I667" s="1666" t="s">
        <v>1579</v>
      </c>
      <c r="J667" s="1666" t="s">
        <v>649</v>
      </c>
      <c r="K667" s="1666" t="s">
        <v>555</v>
      </c>
      <c r="L667" s="1004"/>
      <c r="M667" s="1004"/>
      <c r="N667" s="1005"/>
      <c r="O667" s="568"/>
      <c r="P667" s="1005"/>
      <c r="Q667" s="1005"/>
      <c r="R667" s="1005"/>
      <c r="S667" s="1005"/>
      <c r="W667" s="33"/>
      <c r="X667" s="33"/>
      <c r="Y667" s="33"/>
    </row>
    <row r="668" spans="1:25" s="9" customFormat="1" ht="27.75" customHeight="1">
      <c r="A668" s="1020" t="s">
        <v>804</v>
      </c>
      <c r="B668" s="1035"/>
      <c r="C668" s="1671"/>
      <c r="D668" s="1671"/>
      <c r="E668" s="1671"/>
      <c r="F668" s="1671"/>
      <c r="G668" s="1650"/>
      <c r="H668" s="1650"/>
      <c r="I668" s="1667"/>
      <c r="J668" s="1667"/>
      <c r="K668" s="1667"/>
      <c r="L668" s="1004"/>
      <c r="M668" s="1004"/>
      <c r="N668" s="1005"/>
      <c r="O668" s="568"/>
      <c r="P668" s="1005"/>
      <c r="Q668" s="1005"/>
      <c r="R668" s="1005"/>
      <c r="S668" s="1005"/>
      <c r="W668" s="33"/>
      <c r="X668" s="33"/>
      <c r="Y668" s="33"/>
    </row>
    <row r="669" spans="1:25" s="9" customFormat="1" ht="48" customHeight="1">
      <c r="A669" s="1020" t="s">
        <v>805</v>
      </c>
      <c r="B669" s="1035"/>
      <c r="C669" s="1671"/>
      <c r="D669" s="1671"/>
      <c r="E669" s="1671"/>
      <c r="F669" s="1671"/>
      <c r="G669" s="1650"/>
      <c r="H669" s="1650"/>
      <c r="I669" s="1667"/>
      <c r="J669" s="1667"/>
      <c r="K669" s="1667"/>
      <c r="L669" s="1004"/>
      <c r="M669" s="1004"/>
      <c r="N669" s="1005"/>
      <c r="O669" s="568"/>
      <c r="P669" s="1005"/>
      <c r="Q669" s="1005"/>
      <c r="R669" s="1005"/>
      <c r="S669" s="1005"/>
      <c r="W669" s="33"/>
      <c r="X669" s="33"/>
      <c r="Y669" s="33"/>
    </row>
    <row r="670" spans="1:25" s="9" customFormat="1" ht="24">
      <c r="A670" s="28" t="s">
        <v>805</v>
      </c>
      <c r="B670" s="1036"/>
      <c r="C670" s="1672"/>
      <c r="D670" s="1672"/>
      <c r="E670" s="1672"/>
      <c r="F670" s="1672"/>
      <c r="G670" s="1670"/>
      <c r="H670" s="1670"/>
      <c r="I670" s="1433"/>
      <c r="J670" s="1472"/>
      <c r="K670" s="1365"/>
      <c r="L670" s="1387"/>
      <c r="M670" s="1387"/>
      <c r="N670" s="141"/>
      <c r="O670" s="141"/>
      <c r="P670" s="141"/>
      <c r="Q670" s="141"/>
      <c r="R670" s="141"/>
      <c r="S670" s="141"/>
      <c r="W670" s="33"/>
      <c r="X670" s="33"/>
      <c r="Y670" s="33"/>
    </row>
    <row r="671" spans="1:25" s="9" customFormat="1" ht="75.75" customHeight="1">
      <c r="A671" s="96" t="s">
        <v>1136</v>
      </c>
      <c r="B671" s="1462" t="s">
        <v>1059</v>
      </c>
      <c r="C671" s="1436"/>
      <c r="D671" s="1436"/>
      <c r="E671" s="1436"/>
      <c r="F671" s="1664" t="s">
        <v>1446</v>
      </c>
      <c r="G671" s="1481" t="s">
        <v>1447</v>
      </c>
      <c r="H671" s="1037" t="s">
        <v>1448</v>
      </c>
      <c r="I671" s="1400" t="s">
        <v>1526</v>
      </c>
      <c r="J671" s="29" t="s">
        <v>48</v>
      </c>
      <c r="K671" s="29" t="s">
        <v>1060</v>
      </c>
      <c r="L671" s="1462" t="s">
        <v>17</v>
      </c>
      <c r="M671" s="938" t="s">
        <v>25</v>
      </c>
      <c r="N671" s="40"/>
      <c r="O671" s="40"/>
      <c r="P671" s="40">
        <f>2016+130.1</f>
        <v>2146.1</v>
      </c>
      <c r="Q671" s="40"/>
      <c r="R671" s="40"/>
      <c r="S671" s="40"/>
      <c r="W671" s="33"/>
      <c r="X671" s="33"/>
      <c r="Y671" s="33"/>
    </row>
    <row r="672" spans="1:25" s="9" customFormat="1" ht="51" customHeight="1">
      <c r="A672" s="942"/>
      <c r="B672" s="41" t="s">
        <v>285</v>
      </c>
      <c r="C672" s="1484"/>
      <c r="D672" s="1484"/>
      <c r="E672" s="1484"/>
      <c r="F672" s="1665"/>
      <c r="G672" s="392"/>
      <c r="H672" s="1038"/>
      <c r="I672" s="1039" t="s">
        <v>1137</v>
      </c>
      <c r="J672" s="954" t="s">
        <v>48</v>
      </c>
      <c r="K672" s="954" t="s">
        <v>1581</v>
      </c>
      <c r="L672" s="41" t="s">
        <v>17</v>
      </c>
      <c r="M672" s="864" t="s">
        <v>25</v>
      </c>
      <c r="N672" s="32">
        <v>10097.700000000001</v>
      </c>
      <c r="O672" s="32">
        <v>10097.700000000001</v>
      </c>
      <c r="P672" s="32">
        <v>9733.2000000000007</v>
      </c>
      <c r="Q672" s="32"/>
      <c r="R672" s="32"/>
      <c r="S672" s="32"/>
      <c r="W672" s="33"/>
      <c r="X672" s="33"/>
      <c r="Y672" s="33"/>
    </row>
    <row r="673" spans="1:25" s="18" customFormat="1" ht="60.75" customHeight="1">
      <c r="A673" s="961" t="s">
        <v>379</v>
      </c>
      <c r="B673" s="1040" t="s">
        <v>380</v>
      </c>
      <c r="C673" s="1275" t="s">
        <v>1449</v>
      </c>
      <c r="D673" s="1275" t="s">
        <v>1450</v>
      </c>
      <c r="E673" s="1275" t="s">
        <v>1159</v>
      </c>
      <c r="F673" s="961"/>
      <c r="G673" s="961"/>
      <c r="H673" s="961"/>
      <c r="I673" s="961"/>
      <c r="J673" s="961"/>
      <c r="K673" s="961"/>
      <c r="L673" s="960"/>
      <c r="M673" s="960"/>
      <c r="N673" s="962">
        <f>SUM(N676:N689)</f>
        <v>3969.0160000000001</v>
      </c>
      <c r="O673" s="962">
        <f t="shared" ref="O673:S673" si="130">SUM(O676:O689)</f>
        <v>3830.6169999999997</v>
      </c>
      <c r="P673" s="962">
        <f t="shared" si="130"/>
        <v>7390.6530000000002</v>
      </c>
      <c r="Q673" s="962">
        <f t="shared" si="130"/>
        <v>416.8</v>
      </c>
      <c r="R673" s="962">
        <f t="shared" si="130"/>
        <v>416.8</v>
      </c>
      <c r="S673" s="962">
        <f t="shared" si="130"/>
        <v>416.8</v>
      </c>
      <c r="W673" s="19"/>
      <c r="X673" s="19"/>
      <c r="Y673" s="19"/>
    </row>
    <row r="674" spans="1:25" s="18" customFormat="1" ht="27" customHeight="1">
      <c r="A674" s="679" t="s">
        <v>660</v>
      </c>
      <c r="B674" s="1041"/>
      <c r="C674" s="1042"/>
      <c r="D674" s="1042"/>
      <c r="E674" s="1042"/>
      <c r="F674" s="1042"/>
      <c r="G674" s="1042"/>
      <c r="H674" s="1042"/>
      <c r="I674" s="1668" t="s">
        <v>1580</v>
      </c>
      <c r="J674" s="1668" t="s">
        <v>649</v>
      </c>
      <c r="K674" s="1668" t="s">
        <v>555</v>
      </c>
      <c r="L674" s="221"/>
      <c r="M674" s="221"/>
      <c r="N674" s="650"/>
      <c r="O674" s="1509"/>
      <c r="P674" s="650"/>
      <c r="Q674" s="650"/>
      <c r="R674" s="650"/>
      <c r="S674" s="650"/>
      <c r="W674" s="19"/>
      <c r="X674" s="19"/>
      <c r="Y674" s="19"/>
    </row>
    <row r="675" spans="1:25" s="18" customFormat="1" ht="71.25" customHeight="1">
      <c r="A675" s="1043" t="s">
        <v>806</v>
      </c>
      <c r="B675" s="1044"/>
      <c r="C675" s="1045"/>
      <c r="D675" s="1045"/>
      <c r="E675" s="1045"/>
      <c r="F675" s="1045"/>
      <c r="G675" s="1045"/>
      <c r="H675" s="1045"/>
      <c r="I675" s="1669"/>
      <c r="J675" s="1669"/>
      <c r="K675" s="1669"/>
      <c r="L675" s="1046"/>
      <c r="M675" s="1046"/>
      <c r="N675" s="1047"/>
      <c r="O675" s="1506"/>
      <c r="P675" s="1047"/>
      <c r="Q675" s="1047"/>
      <c r="R675" s="1047"/>
      <c r="S675" s="1047"/>
      <c r="W675" s="19"/>
      <c r="X675" s="19"/>
      <c r="Y675" s="19"/>
    </row>
    <row r="676" spans="1:25" s="9" customFormat="1" ht="63.75" customHeight="1">
      <c r="A676" s="1048" t="s">
        <v>807</v>
      </c>
      <c r="B676" s="1049" t="s">
        <v>845</v>
      </c>
      <c r="C676" s="1050"/>
      <c r="D676" s="1050"/>
      <c r="E676" s="1050"/>
      <c r="F676" s="1050"/>
      <c r="G676" s="1050"/>
      <c r="H676" s="1050"/>
      <c r="I676" s="1479" t="s">
        <v>1138</v>
      </c>
      <c r="J676" s="1051" t="s">
        <v>48</v>
      </c>
      <c r="K676" s="1051" t="s">
        <v>1046</v>
      </c>
      <c r="L676" s="1052" t="s">
        <v>17</v>
      </c>
      <c r="M676" s="1052" t="s">
        <v>28</v>
      </c>
      <c r="N676" s="1053">
        <v>780</v>
      </c>
      <c r="O676" s="1555">
        <v>780</v>
      </c>
      <c r="P676" s="1053">
        <v>80</v>
      </c>
      <c r="Q676" s="1053"/>
      <c r="R676" s="1053"/>
      <c r="S676" s="1053"/>
      <c r="W676" s="33"/>
      <c r="X676" s="33"/>
      <c r="Y676" s="33"/>
    </row>
    <row r="677" spans="1:25" s="9" customFormat="1" ht="73.5" customHeight="1">
      <c r="A677" s="135"/>
      <c r="B677" s="1054"/>
      <c r="C677" s="1483"/>
      <c r="D677" s="1483"/>
      <c r="E677" s="1483"/>
      <c r="F677" s="1483"/>
      <c r="G677" s="1483"/>
      <c r="H677" s="1483"/>
      <c r="I677" s="1484" t="s">
        <v>1529</v>
      </c>
      <c r="J677" s="1484" t="s">
        <v>48</v>
      </c>
      <c r="K677" s="1484" t="s">
        <v>1141</v>
      </c>
      <c r="L677" s="281"/>
      <c r="M677" s="281"/>
      <c r="N677" s="1055">
        <v>0</v>
      </c>
      <c r="O677" s="1055">
        <v>0</v>
      </c>
      <c r="P677" s="1055">
        <v>3843.2260000000001</v>
      </c>
      <c r="Q677" s="1055"/>
      <c r="R677" s="1055"/>
      <c r="S677" s="1055"/>
      <c r="W677" s="33"/>
      <c r="X677" s="33"/>
      <c r="Y677" s="33"/>
    </row>
    <row r="678" spans="1:25" s="9" customFormat="1" ht="75.75" customHeight="1">
      <c r="A678" s="1056"/>
      <c r="B678" s="1057"/>
      <c r="C678" s="1058"/>
      <c r="D678" s="1058"/>
      <c r="E678" s="1058"/>
      <c r="F678" s="1058"/>
      <c r="G678" s="1058"/>
      <c r="H678" s="1058"/>
      <c r="I678" s="1058" t="s">
        <v>1598</v>
      </c>
      <c r="J678" s="1058" t="s">
        <v>48</v>
      </c>
      <c r="K678" s="1058" t="s">
        <v>945</v>
      </c>
      <c r="L678" s="1059"/>
      <c r="M678" s="1059"/>
      <c r="N678" s="1060">
        <v>400</v>
      </c>
      <c r="O678" s="39">
        <v>400</v>
      </c>
      <c r="P678" s="1060">
        <v>0</v>
      </c>
      <c r="Q678" s="1060"/>
      <c r="R678" s="1060"/>
      <c r="S678" s="1060"/>
      <c r="W678" s="33"/>
      <c r="X678" s="33"/>
      <c r="Y678" s="33"/>
    </row>
    <row r="679" spans="1:25" s="9" customFormat="1" ht="51.75" customHeight="1">
      <c r="A679" s="1061" t="s">
        <v>808</v>
      </c>
      <c r="B679" s="1062" t="s">
        <v>294</v>
      </c>
      <c r="C679" s="113"/>
      <c r="D679" s="113"/>
      <c r="E679" s="113"/>
      <c r="F679" s="113"/>
      <c r="G679" s="113"/>
      <c r="H679" s="113"/>
      <c r="I679" s="72" t="s">
        <v>1047</v>
      </c>
      <c r="J679" s="113" t="s">
        <v>48</v>
      </c>
      <c r="K679" s="72" t="s">
        <v>1046</v>
      </c>
      <c r="L679" s="1063" t="s">
        <v>17</v>
      </c>
      <c r="M679" s="1063" t="s">
        <v>28</v>
      </c>
      <c r="N679" s="1064">
        <v>395.53100000000001</v>
      </c>
      <c r="O679" s="39">
        <v>384.75799999999998</v>
      </c>
      <c r="P679" s="1064">
        <v>437.2</v>
      </c>
      <c r="Q679" s="1064">
        <v>416.8</v>
      </c>
      <c r="R679" s="1064">
        <v>416.8</v>
      </c>
      <c r="S679" s="1064">
        <v>416.8</v>
      </c>
      <c r="W679" s="33"/>
      <c r="X679" s="33"/>
      <c r="Y679" s="33"/>
    </row>
    <row r="680" spans="1:25" s="9" customFormat="1" ht="75.75" customHeight="1">
      <c r="A680" s="226"/>
      <c r="B680" s="1062" t="s">
        <v>841</v>
      </c>
      <c r="C680" s="1066"/>
      <c r="D680" s="1066"/>
      <c r="E680" s="1066"/>
      <c r="F680" s="1066"/>
      <c r="G680" s="1066"/>
      <c r="H680" s="1066"/>
      <c r="I680" s="1067" t="s">
        <v>1002</v>
      </c>
      <c r="J680" s="1068" t="s">
        <v>48</v>
      </c>
      <c r="K680" s="1068" t="s">
        <v>974</v>
      </c>
      <c r="L680" s="1069" t="s">
        <v>17</v>
      </c>
      <c r="M680" s="1069" t="s">
        <v>28</v>
      </c>
      <c r="N680" s="1070">
        <v>280</v>
      </c>
      <c r="O680" s="39">
        <v>280</v>
      </c>
      <c r="P680" s="1070">
        <v>0</v>
      </c>
      <c r="Q680" s="1070"/>
      <c r="R680" s="1070"/>
      <c r="S680" s="1070"/>
      <c r="W680" s="33"/>
      <c r="X680" s="33"/>
      <c r="Y680" s="33"/>
    </row>
    <row r="681" spans="1:25" s="9" customFormat="1" ht="12" hidden="1">
      <c r="A681" s="226"/>
      <c r="B681" s="1062"/>
      <c r="C681" s="1066"/>
      <c r="D681" s="1066"/>
      <c r="E681" s="1066"/>
      <c r="F681" s="1066"/>
      <c r="G681" s="1066"/>
      <c r="H681" s="1066"/>
      <c r="I681" s="1067"/>
      <c r="J681" s="1068"/>
      <c r="K681" s="1068"/>
      <c r="L681" s="1069"/>
      <c r="M681" s="1069"/>
      <c r="N681" s="1070"/>
      <c r="O681" s="39"/>
      <c r="P681" s="1070"/>
      <c r="Q681" s="1070"/>
      <c r="R681" s="1070"/>
      <c r="S681" s="1070"/>
      <c r="W681" s="33"/>
      <c r="X681" s="33"/>
      <c r="Y681" s="33"/>
    </row>
    <row r="682" spans="1:25" s="9" customFormat="1" ht="75.75" customHeight="1">
      <c r="A682" s="226"/>
      <c r="B682" s="1071" t="s">
        <v>900</v>
      </c>
      <c r="C682" s="933"/>
      <c r="D682" s="933"/>
      <c r="E682" s="933"/>
      <c r="F682" s="933"/>
      <c r="G682" s="933"/>
      <c r="H682" s="933"/>
      <c r="I682" s="1078" t="s">
        <v>1692</v>
      </c>
      <c r="J682" s="1079" t="s">
        <v>48</v>
      </c>
      <c r="K682" s="1079" t="s">
        <v>1504</v>
      </c>
      <c r="L682" s="567" t="s">
        <v>17</v>
      </c>
      <c r="M682" s="567" t="s">
        <v>28</v>
      </c>
      <c r="N682" s="568">
        <v>280</v>
      </c>
      <c r="O682" s="568">
        <v>280</v>
      </c>
      <c r="P682" s="568">
        <v>280</v>
      </c>
      <c r="Q682" s="568"/>
      <c r="R682" s="568"/>
      <c r="S682" s="568"/>
      <c r="W682" s="33"/>
      <c r="X682" s="33"/>
      <c r="Y682" s="33"/>
    </row>
    <row r="683" spans="1:25" s="9" customFormat="1" ht="53.25" hidden="1" customHeight="1">
      <c r="A683" s="126"/>
      <c r="B683" s="1071" t="s">
        <v>900</v>
      </c>
      <c r="C683" s="1470"/>
      <c r="D683" s="1470"/>
      <c r="E683" s="1470"/>
      <c r="F683" s="1470"/>
      <c r="G683" s="1470"/>
      <c r="H683" s="1470"/>
      <c r="I683" s="1072" t="s">
        <v>1083</v>
      </c>
      <c r="J683" s="933" t="s">
        <v>48</v>
      </c>
      <c r="K683" s="933" t="s">
        <v>1084</v>
      </c>
      <c r="L683" s="567"/>
      <c r="M683" s="567"/>
      <c r="N683" s="568"/>
      <c r="O683" s="568"/>
      <c r="P683" s="568"/>
      <c r="Q683" s="568"/>
      <c r="R683" s="568"/>
      <c r="S683" s="568"/>
      <c r="W683" s="33"/>
      <c r="X683" s="33"/>
      <c r="Y683" s="33"/>
    </row>
    <row r="684" spans="1:25" s="9" customFormat="1" ht="63" customHeight="1">
      <c r="A684" s="1278"/>
      <c r="B684" s="1071" t="s">
        <v>301</v>
      </c>
      <c r="C684" s="1034"/>
      <c r="D684" s="1034"/>
      <c r="E684" s="1034"/>
      <c r="F684" s="1034"/>
      <c r="G684" s="1034"/>
      <c r="H684" s="1034"/>
      <c r="I684" s="1436" t="s">
        <v>1562</v>
      </c>
      <c r="J684" s="28" t="s">
        <v>48</v>
      </c>
      <c r="K684" s="28" t="s">
        <v>1139</v>
      </c>
      <c r="L684" s="1073" t="s">
        <v>17</v>
      </c>
      <c r="M684" s="1073" t="s">
        <v>28</v>
      </c>
      <c r="N684" s="1074">
        <v>332</v>
      </c>
      <c r="O684" s="568">
        <v>332</v>
      </c>
      <c r="P684" s="1074">
        <v>498</v>
      </c>
      <c r="Q684" s="1074"/>
      <c r="R684" s="1074"/>
      <c r="S684" s="1074"/>
      <c r="W684" s="33"/>
      <c r="X684" s="33"/>
      <c r="Y684" s="33"/>
    </row>
    <row r="685" spans="1:25" s="9" customFormat="1" ht="51" customHeight="1">
      <c r="A685" s="502"/>
      <c r="B685" s="1076" t="s">
        <v>633</v>
      </c>
      <c r="C685" s="1079"/>
      <c r="D685" s="1079"/>
      <c r="E685" s="1079"/>
      <c r="F685" s="1079"/>
      <c r="G685" s="1079"/>
      <c r="H685" s="1079"/>
      <c r="I685" s="1496" t="s">
        <v>1140</v>
      </c>
      <c r="J685" s="1079" t="s">
        <v>48</v>
      </c>
      <c r="K685" s="1079" t="s">
        <v>1139</v>
      </c>
      <c r="L685" s="1076" t="s">
        <v>17</v>
      </c>
      <c r="M685" s="1076" t="s">
        <v>28</v>
      </c>
      <c r="N685" s="1082">
        <v>136.48500000000001</v>
      </c>
      <c r="O685" s="1082">
        <v>124.884</v>
      </c>
      <c r="P685" s="1080">
        <v>204.727</v>
      </c>
      <c r="Q685" s="569"/>
      <c r="R685" s="569"/>
      <c r="S685" s="569"/>
      <c r="W685" s="33"/>
      <c r="X685" s="33"/>
      <c r="Y685" s="33"/>
    </row>
    <row r="686" spans="1:25" s="9" customFormat="1" ht="112.5" customHeight="1">
      <c r="A686" s="495"/>
      <c r="B686" s="1288" t="s">
        <v>430</v>
      </c>
      <c r="C686" s="1294"/>
      <c r="D686" s="1287"/>
      <c r="E686" s="1287"/>
      <c r="F686" s="1287"/>
      <c r="G686" s="1287"/>
      <c r="H686" s="1295"/>
      <c r="I686" s="50" t="s">
        <v>1322</v>
      </c>
      <c r="J686" s="2" t="s">
        <v>48</v>
      </c>
      <c r="K686" s="2" t="s">
        <v>1064</v>
      </c>
      <c r="L686" s="1288" t="s">
        <v>17</v>
      </c>
      <c r="M686" s="1296" t="s">
        <v>28</v>
      </c>
      <c r="N686" s="1074">
        <v>1365</v>
      </c>
      <c r="O686" s="568">
        <v>1248.9749999999999</v>
      </c>
      <c r="P686" s="1263">
        <v>2047.5</v>
      </c>
      <c r="Q686" s="569"/>
      <c r="R686" s="569"/>
      <c r="S686" s="569"/>
      <c r="W686" s="33"/>
      <c r="X686" s="33"/>
      <c r="Y686" s="33"/>
    </row>
    <row r="687" spans="1:25" s="9" customFormat="1" ht="53.25" hidden="1" customHeight="1">
      <c r="A687" s="1083" t="s">
        <v>661</v>
      </c>
      <c r="B687" s="173"/>
      <c r="C687" s="184"/>
      <c r="D687" s="184"/>
      <c r="E687" s="184"/>
      <c r="F687" s="184"/>
      <c r="G687" s="184"/>
      <c r="H687" s="184"/>
      <c r="I687" s="1084"/>
      <c r="J687" s="1085"/>
      <c r="K687" s="1085"/>
      <c r="L687" s="173"/>
      <c r="M687" s="173"/>
      <c r="N687" s="175"/>
      <c r="O687" s="419"/>
      <c r="P687" s="175"/>
      <c r="Q687" s="175"/>
      <c r="R687" s="175"/>
      <c r="S687" s="175"/>
      <c r="W687" s="33"/>
      <c r="X687" s="33"/>
      <c r="Y687" s="33"/>
    </row>
    <row r="688" spans="1:25" s="9" customFormat="1" ht="53.25" hidden="1" customHeight="1">
      <c r="A688" s="1086" t="s">
        <v>809</v>
      </c>
      <c r="B688" s="1651" t="s">
        <v>302</v>
      </c>
      <c r="C688" s="1653"/>
      <c r="D688" s="1653"/>
      <c r="E688" s="1653"/>
      <c r="F688" s="1653" t="s">
        <v>315</v>
      </c>
      <c r="G688" s="1653" t="s">
        <v>419</v>
      </c>
      <c r="H688" s="1653" t="s">
        <v>316</v>
      </c>
      <c r="I688" s="1087"/>
      <c r="J688" s="1087"/>
      <c r="K688" s="1087"/>
      <c r="L688" s="1651" t="s">
        <v>17</v>
      </c>
      <c r="M688" s="1651" t="s">
        <v>28</v>
      </c>
      <c r="N688" s="1644">
        <v>0</v>
      </c>
      <c r="O688" s="1556">
        <v>0</v>
      </c>
      <c r="P688" s="1644">
        <v>0</v>
      </c>
      <c r="Q688" s="1644">
        <v>0</v>
      </c>
      <c r="R688" s="1644">
        <v>0</v>
      </c>
      <c r="S688" s="1644">
        <v>0</v>
      </c>
      <c r="W688" s="33"/>
      <c r="X688" s="33"/>
      <c r="Y688" s="33"/>
    </row>
    <row r="689" spans="1:25" s="9" customFormat="1" ht="53.25" hidden="1" customHeight="1">
      <c r="A689" s="98"/>
      <c r="B689" s="1652"/>
      <c r="C689" s="1654"/>
      <c r="D689" s="1654"/>
      <c r="E689" s="1654"/>
      <c r="F689" s="1659"/>
      <c r="G689" s="1659"/>
      <c r="H689" s="1654"/>
      <c r="I689" s="216"/>
      <c r="J689" s="216"/>
      <c r="K689" s="216"/>
      <c r="L689" s="1652"/>
      <c r="M689" s="1652"/>
      <c r="N689" s="1645"/>
      <c r="O689" s="1478"/>
      <c r="P689" s="1645"/>
      <c r="Q689" s="1645"/>
      <c r="R689" s="1846"/>
      <c r="S689" s="1846"/>
      <c r="W689" s="33"/>
      <c r="X689" s="33"/>
      <c r="Y689" s="33"/>
    </row>
    <row r="690" spans="1:25" s="18" customFormat="1" ht="66.75" customHeight="1">
      <c r="A690" s="1088" t="s">
        <v>1142</v>
      </c>
      <c r="B690" s="1089">
        <v>2324</v>
      </c>
      <c r="C690" s="1275" t="s">
        <v>1449</v>
      </c>
      <c r="D690" s="1275" t="s">
        <v>1452</v>
      </c>
      <c r="E690" s="1275" t="s">
        <v>1159</v>
      </c>
      <c r="F690" s="1090"/>
      <c r="G690" s="1090"/>
      <c r="H690" s="1090"/>
      <c r="I690" s="1091"/>
      <c r="J690" s="1092"/>
      <c r="K690" s="1091"/>
      <c r="L690" s="1089"/>
      <c r="M690" s="1093"/>
      <c r="N690" s="1094">
        <f t="shared" ref="N690:S690" si="131">SUM(N693:N694)</f>
        <v>2688.8429999999998</v>
      </c>
      <c r="O690" s="109">
        <f t="shared" si="131"/>
        <v>2688.8429999999998</v>
      </c>
      <c r="P690" s="1094">
        <f t="shared" si="131"/>
        <v>3140</v>
      </c>
      <c r="Q690" s="1094">
        <f t="shared" si="131"/>
        <v>0</v>
      </c>
      <c r="R690" s="1094">
        <f t="shared" si="131"/>
        <v>0</v>
      </c>
      <c r="S690" s="1094">
        <f t="shared" si="131"/>
        <v>0</v>
      </c>
      <c r="W690" s="19"/>
      <c r="X690" s="19"/>
      <c r="Y690" s="19"/>
    </row>
    <row r="691" spans="1:25" s="18" customFormat="1" ht="13.5" customHeight="1">
      <c r="A691" s="1095" t="s">
        <v>1143</v>
      </c>
      <c r="B691" s="1096"/>
      <c r="C691" s="570"/>
      <c r="D691" s="570"/>
      <c r="E691" s="570"/>
      <c r="F691" s="570"/>
      <c r="G691" s="570"/>
      <c r="H691" s="570"/>
      <c r="I691" s="1097"/>
      <c r="J691" s="1075"/>
      <c r="K691" s="1097"/>
      <c r="L691" s="1096"/>
      <c r="M691" s="571"/>
      <c r="N691" s="574"/>
      <c r="O691" s="574"/>
      <c r="P691" s="574"/>
      <c r="Q691" s="574"/>
      <c r="R691" s="574"/>
      <c r="S691" s="574"/>
      <c r="W691" s="19"/>
      <c r="X691" s="19"/>
      <c r="Y691" s="19"/>
    </row>
    <row r="692" spans="1:25" s="18" customFormat="1" ht="63" customHeight="1">
      <c r="A692" s="1098" t="s">
        <v>1144</v>
      </c>
      <c r="B692" s="1488"/>
      <c r="C692" s="1088"/>
      <c r="D692" s="1088"/>
      <c r="E692" s="1088"/>
      <c r="F692" s="1088"/>
      <c r="G692" s="1088"/>
      <c r="H692" s="1088"/>
      <c r="I692" s="1099" t="s">
        <v>1323</v>
      </c>
      <c r="J692" s="1075" t="s">
        <v>48</v>
      </c>
      <c r="K692" s="1097" t="s">
        <v>849</v>
      </c>
      <c r="L692" s="1096"/>
      <c r="M692" s="571"/>
      <c r="N692" s="574"/>
      <c r="O692" s="574"/>
      <c r="P692" s="574"/>
      <c r="Q692" s="574"/>
      <c r="R692" s="574"/>
      <c r="S692" s="574"/>
      <c r="W692" s="19"/>
      <c r="X692" s="19"/>
      <c r="Y692" s="19"/>
    </row>
    <row r="693" spans="1:25" s="9" customFormat="1" ht="75" customHeight="1">
      <c r="A693" s="1217" t="s">
        <v>1145</v>
      </c>
      <c r="B693" s="938" t="s">
        <v>584</v>
      </c>
      <c r="C693" s="415"/>
      <c r="D693" s="415"/>
      <c r="E693" s="415"/>
      <c r="F693" s="415"/>
      <c r="G693" s="415"/>
      <c r="H693" s="1436"/>
      <c r="I693" s="943" t="s">
        <v>1146</v>
      </c>
      <c r="J693" s="44" t="s">
        <v>48</v>
      </c>
      <c r="K693" s="45" t="s">
        <v>1131</v>
      </c>
      <c r="L693" s="567" t="s">
        <v>27</v>
      </c>
      <c r="M693" s="567" t="s">
        <v>32</v>
      </c>
      <c r="N693" s="568">
        <v>1467</v>
      </c>
      <c r="O693" s="568">
        <v>1467</v>
      </c>
      <c r="P693" s="568">
        <v>2340</v>
      </c>
      <c r="Q693" s="568"/>
      <c r="R693" s="568"/>
      <c r="S693" s="568"/>
      <c r="W693" s="33"/>
      <c r="X693" s="33"/>
      <c r="Y693" s="33"/>
    </row>
    <row r="694" spans="1:25" s="9" customFormat="1" ht="87.75" customHeight="1">
      <c r="A694" s="1100"/>
      <c r="B694" s="978" t="s">
        <v>937</v>
      </c>
      <c r="C694" s="970"/>
      <c r="D694" s="970"/>
      <c r="E694" s="970"/>
      <c r="F694" s="970"/>
      <c r="G694" s="970"/>
      <c r="H694" s="970"/>
      <c r="I694" s="1027" t="s">
        <v>1620</v>
      </c>
      <c r="J694" s="1027" t="s">
        <v>48</v>
      </c>
      <c r="K694" s="1101" t="s">
        <v>1082</v>
      </c>
      <c r="L694" s="978" t="s">
        <v>27</v>
      </c>
      <c r="M694" s="978" t="s">
        <v>32</v>
      </c>
      <c r="N694" s="1102">
        <v>1221.8430000000001</v>
      </c>
      <c r="O694" s="1557">
        <v>1221.8430000000001</v>
      </c>
      <c r="P694" s="1102">
        <f>150+650</f>
        <v>800</v>
      </c>
      <c r="Q694" s="568"/>
      <c r="R694" s="568"/>
      <c r="S694" s="568"/>
      <c r="W694" s="33"/>
      <c r="X694" s="33"/>
      <c r="Y694" s="33"/>
    </row>
    <row r="695" spans="1:25" s="18" customFormat="1" ht="87" customHeight="1">
      <c r="A695" s="1103" t="s">
        <v>381</v>
      </c>
      <c r="B695" s="1104">
        <v>2326</v>
      </c>
      <c r="C695" s="1275" t="s">
        <v>1449</v>
      </c>
      <c r="D695" s="1275" t="s">
        <v>1453</v>
      </c>
      <c r="E695" s="1275" t="s">
        <v>1159</v>
      </c>
      <c r="F695" s="1105" t="s">
        <v>24</v>
      </c>
      <c r="G695" s="1105" t="s">
        <v>24</v>
      </c>
      <c r="H695" s="1105" t="s">
        <v>24</v>
      </c>
      <c r="I695" s="1105" t="s">
        <v>24</v>
      </c>
      <c r="J695" s="1105" t="s">
        <v>24</v>
      </c>
      <c r="K695" s="1105" t="s">
        <v>24</v>
      </c>
      <c r="L695" s="1104"/>
      <c r="M695" s="1104"/>
      <c r="N695" s="1106">
        <f>SUM(N696:N715)</f>
        <v>29675.254999999997</v>
      </c>
      <c r="O695" s="1558">
        <f t="shared" ref="O695:S695" si="132">SUM(O696:O715)</f>
        <v>15940.355</v>
      </c>
      <c r="P695" s="1106">
        <f>SUM(P696:P715)</f>
        <v>13183.702000000001</v>
      </c>
      <c r="Q695" s="1106">
        <f t="shared" si="132"/>
        <v>0</v>
      </c>
      <c r="R695" s="1106">
        <f t="shared" si="132"/>
        <v>0</v>
      </c>
      <c r="S695" s="1106">
        <f t="shared" si="132"/>
        <v>0</v>
      </c>
      <c r="W695" s="19"/>
      <c r="X695" s="19"/>
      <c r="Y695" s="19"/>
    </row>
    <row r="696" spans="1:25" s="18" customFormat="1" ht="24">
      <c r="A696" s="679" t="s">
        <v>662</v>
      </c>
      <c r="B696" s="1107"/>
      <c r="C696" s="651"/>
      <c r="D696" s="651"/>
      <c r="E696" s="651"/>
      <c r="F696" s="651"/>
      <c r="G696" s="651"/>
      <c r="H696" s="651"/>
      <c r="I696" s="1108"/>
      <c r="J696" s="5"/>
      <c r="K696" s="5"/>
      <c r="L696" s="1107"/>
      <c r="M696" s="1107"/>
      <c r="N696" s="743"/>
      <c r="O696" s="1509"/>
      <c r="P696" s="743"/>
      <c r="Q696" s="1559"/>
      <c r="R696" s="1559"/>
      <c r="S696" s="1559"/>
      <c r="W696" s="19"/>
      <c r="X696" s="19"/>
      <c r="Y696" s="19"/>
    </row>
    <row r="697" spans="1:25" s="18" customFormat="1" ht="89.25" customHeight="1">
      <c r="A697" s="1109" t="s">
        <v>810</v>
      </c>
      <c r="B697" s="1110"/>
      <c r="C697" s="1111"/>
      <c r="D697" s="1111"/>
      <c r="E697" s="1111"/>
      <c r="F697" s="1111"/>
      <c r="G697" s="1111"/>
      <c r="H697" s="1111"/>
      <c r="I697" s="1112" t="s">
        <v>1324</v>
      </c>
      <c r="J697" s="1112" t="s">
        <v>48</v>
      </c>
      <c r="K697" s="1112" t="s">
        <v>556</v>
      </c>
      <c r="L697" s="1110"/>
      <c r="M697" s="1110"/>
      <c r="N697" s="1113"/>
      <c r="O697" s="1509"/>
      <c r="P697" s="1113"/>
      <c r="Q697" s="1560"/>
      <c r="R697" s="1560"/>
      <c r="S697" s="1560"/>
      <c r="W697" s="19"/>
      <c r="X697" s="19"/>
      <c r="Y697" s="19"/>
    </row>
    <row r="698" spans="1:25" s="9" customFormat="1" ht="89.25" customHeight="1">
      <c r="A698" s="1114" t="s">
        <v>811</v>
      </c>
      <c r="B698" s="1115" t="s">
        <v>1037</v>
      </c>
      <c r="C698" s="1116"/>
      <c r="D698" s="1116"/>
      <c r="E698" s="1116"/>
      <c r="F698" s="621" t="s">
        <v>1451</v>
      </c>
      <c r="G698" s="621" t="s">
        <v>58</v>
      </c>
      <c r="H698" s="621" t="s">
        <v>1365</v>
      </c>
      <c r="I698" s="1117" t="s">
        <v>998</v>
      </c>
      <c r="J698" s="1118" t="s">
        <v>48</v>
      </c>
      <c r="K698" s="1119" t="s">
        <v>851</v>
      </c>
      <c r="L698" s="1115" t="s">
        <v>27</v>
      </c>
      <c r="M698" s="1115" t="s">
        <v>32</v>
      </c>
      <c r="N698" s="1120">
        <f>285+85.667</f>
        <v>370.66700000000003</v>
      </c>
      <c r="O698" s="1503">
        <f>85.667+285</f>
        <v>370.66700000000003</v>
      </c>
      <c r="P698" s="1120">
        <v>0</v>
      </c>
      <c r="Q698" s="1120"/>
      <c r="R698" s="1120"/>
      <c r="S698" s="1120"/>
      <c r="W698" s="33"/>
      <c r="X698" s="33"/>
      <c r="Y698" s="33"/>
    </row>
    <row r="699" spans="1:25" s="9" customFormat="1" ht="51" customHeight="1">
      <c r="A699" s="957"/>
      <c r="B699" s="244" t="s">
        <v>884</v>
      </c>
      <c r="C699" s="34"/>
      <c r="D699" s="34"/>
      <c r="E699" s="34"/>
      <c r="F699" s="34"/>
      <c r="G699" s="34"/>
      <c r="H699" s="34"/>
      <c r="I699" s="1650" t="s">
        <v>888</v>
      </c>
      <c r="J699" s="1417" t="s">
        <v>48</v>
      </c>
      <c r="K699" s="1461" t="s">
        <v>889</v>
      </c>
      <c r="L699" s="244" t="s">
        <v>27</v>
      </c>
      <c r="M699" s="244" t="s">
        <v>32</v>
      </c>
      <c r="N699" s="419">
        <f>1935.15</f>
        <v>1935.15</v>
      </c>
      <c r="O699" s="419">
        <v>1935.15</v>
      </c>
      <c r="P699" s="419">
        <v>0</v>
      </c>
      <c r="Q699" s="419"/>
      <c r="R699" s="419"/>
      <c r="S699" s="419"/>
      <c r="W699" s="33"/>
      <c r="X699" s="33"/>
      <c r="Y699" s="33"/>
    </row>
    <row r="700" spans="1:25" s="9" customFormat="1" ht="22.5" customHeight="1">
      <c r="A700" s="957"/>
      <c r="B700" s="244" t="s">
        <v>885</v>
      </c>
      <c r="C700" s="34"/>
      <c r="D700" s="34"/>
      <c r="E700" s="34"/>
      <c r="F700" s="34"/>
      <c r="G700" s="34"/>
      <c r="H700" s="34"/>
      <c r="I700" s="1650"/>
      <c r="J700" s="1417"/>
      <c r="K700" s="1461"/>
      <c r="L700" s="244" t="s">
        <v>27</v>
      </c>
      <c r="M700" s="244" t="s">
        <v>32</v>
      </c>
      <c r="N700" s="419">
        <v>59.85</v>
      </c>
      <c r="O700" s="419">
        <v>59.85</v>
      </c>
      <c r="P700" s="419">
        <v>0</v>
      </c>
      <c r="Q700" s="419"/>
      <c r="R700" s="419"/>
      <c r="S700" s="419"/>
      <c r="W700" s="33"/>
      <c r="X700" s="33"/>
      <c r="Y700" s="33"/>
    </row>
    <row r="701" spans="1:25" s="9" customFormat="1" ht="50.25" customHeight="1">
      <c r="A701" s="1033"/>
      <c r="B701" s="1121" t="s">
        <v>898</v>
      </c>
      <c r="C701" s="977"/>
      <c r="D701" s="977"/>
      <c r="E701" s="977"/>
      <c r="F701" s="977"/>
      <c r="G701" s="977"/>
      <c r="H701" s="977"/>
      <c r="I701" s="1122" t="s">
        <v>981</v>
      </c>
      <c r="J701" s="1027" t="s">
        <v>48</v>
      </c>
      <c r="K701" s="1101" t="s">
        <v>982</v>
      </c>
      <c r="L701" s="978" t="s">
        <v>27</v>
      </c>
      <c r="M701" s="978" t="s">
        <v>32</v>
      </c>
      <c r="N701" s="1123">
        <v>551.20500000000004</v>
      </c>
      <c r="O701" s="424">
        <v>551.20500000000004</v>
      </c>
      <c r="P701" s="1123">
        <v>0</v>
      </c>
      <c r="Q701" s="1123"/>
      <c r="R701" s="1123"/>
      <c r="S701" s="1123"/>
      <c r="W701" s="33"/>
      <c r="X701" s="33"/>
      <c r="Y701" s="33"/>
    </row>
    <row r="702" spans="1:25" s="9" customFormat="1" ht="65.25" customHeight="1">
      <c r="A702" s="1124" t="s">
        <v>1693</v>
      </c>
      <c r="B702" s="1366"/>
      <c r="C702" s="1367"/>
      <c r="D702" s="1367"/>
      <c r="E702" s="1367"/>
      <c r="F702" s="1367"/>
      <c r="G702" s="1367"/>
      <c r="H702" s="1367"/>
      <c r="I702" s="1370" t="s">
        <v>1323</v>
      </c>
      <c r="J702" s="1370" t="s">
        <v>48</v>
      </c>
      <c r="K702" s="1370" t="s">
        <v>1694</v>
      </c>
      <c r="L702" s="1371"/>
      <c r="M702" s="1371"/>
      <c r="N702" s="1368"/>
      <c r="O702" s="1368"/>
      <c r="P702" s="1368"/>
      <c r="Q702" s="1368"/>
      <c r="R702" s="1368"/>
      <c r="S702" s="1368"/>
      <c r="W702" s="33"/>
      <c r="X702" s="33"/>
      <c r="Y702" s="33"/>
    </row>
    <row r="703" spans="1:25" s="9" customFormat="1" ht="101.25" customHeight="1">
      <c r="A703" s="1369" t="s">
        <v>1695</v>
      </c>
      <c r="B703" s="733" t="s">
        <v>449</v>
      </c>
      <c r="C703" s="730"/>
      <c r="D703" s="730"/>
      <c r="E703" s="730"/>
      <c r="F703" s="730"/>
      <c r="G703" s="730"/>
      <c r="H703" s="730"/>
      <c r="I703" s="1372" t="s">
        <v>1599</v>
      </c>
      <c r="J703" s="1373" t="s">
        <v>48</v>
      </c>
      <c r="K703" s="1374" t="s">
        <v>1048</v>
      </c>
      <c r="L703" s="1371" t="s">
        <v>27</v>
      </c>
      <c r="M703" s="1371" t="s">
        <v>32</v>
      </c>
      <c r="N703" s="734">
        <v>10276.973</v>
      </c>
      <c r="O703" s="424">
        <v>10276.973</v>
      </c>
      <c r="P703" s="39">
        <f>5795.77+3150+328.68+3000.04</f>
        <v>12274.490000000002</v>
      </c>
      <c r="Q703" s="734"/>
      <c r="R703" s="734"/>
      <c r="S703" s="734"/>
      <c r="W703" s="33"/>
      <c r="X703" s="33"/>
      <c r="Y703" s="33"/>
    </row>
    <row r="704" spans="1:25" s="9" customFormat="1" ht="65.25" customHeight="1">
      <c r="A704" s="1262"/>
      <c r="B704" s="1371" t="s">
        <v>520</v>
      </c>
      <c r="C704" s="1375"/>
      <c r="D704" s="1375"/>
      <c r="E704" s="1375"/>
      <c r="F704" s="1375"/>
      <c r="G704" s="1375"/>
      <c r="H704" s="1375"/>
      <c r="I704" s="1372" t="s">
        <v>1147</v>
      </c>
      <c r="J704" s="1373" t="s">
        <v>48</v>
      </c>
      <c r="K704" s="1374" t="s">
        <v>1131</v>
      </c>
      <c r="L704" s="1371" t="s">
        <v>27</v>
      </c>
      <c r="M704" s="1371" t="s">
        <v>32</v>
      </c>
      <c r="N704" s="1126">
        <v>963.59100000000001</v>
      </c>
      <c r="O704" s="424">
        <v>963.59100000000001</v>
      </c>
      <c r="P704" s="32">
        <v>649.56200000000001</v>
      </c>
      <c r="Q704" s="734"/>
      <c r="R704" s="734"/>
      <c r="S704" s="734"/>
      <c r="W704" s="33"/>
      <c r="X704" s="33"/>
      <c r="Y704" s="33"/>
    </row>
    <row r="705" spans="1:25" s="9" customFormat="1" ht="73.5" customHeight="1">
      <c r="A705" s="1262"/>
      <c r="B705" s="258" t="s">
        <v>444</v>
      </c>
      <c r="C705" s="100"/>
      <c r="D705" s="100"/>
      <c r="E705" s="100"/>
      <c r="F705" s="100"/>
      <c r="G705" s="100"/>
      <c r="H705" s="100"/>
      <c r="I705" s="1077" t="s">
        <v>886</v>
      </c>
      <c r="J705" s="1373" t="s">
        <v>48</v>
      </c>
      <c r="K705" s="1374" t="s">
        <v>851</v>
      </c>
      <c r="L705" s="1371" t="s">
        <v>27</v>
      </c>
      <c r="M705" s="1371" t="s">
        <v>32</v>
      </c>
      <c r="N705" s="462">
        <f>2232.72+11687.9</f>
        <v>13920.619999999999</v>
      </c>
      <c r="O705" s="462">
        <f>185.72+0</f>
        <v>185.72</v>
      </c>
      <c r="P705" s="462">
        <v>0</v>
      </c>
      <c r="Q705" s="462"/>
      <c r="R705" s="462"/>
      <c r="S705" s="462"/>
      <c r="W705" s="33"/>
      <c r="X705" s="33"/>
      <c r="Y705" s="33"/>
    </row>
    <row r="706" spans="1:25" s="9" customFormat="1" ht="73.5" customHeight="1">
      <c r="A706" s="1367"/>
      <c r="B706" s="1076" t="s">
        <v>901</v>
      </c>
      <c r="C706" s="1079"/>
      <c r="D706" s="1079"/>
      <c r="E706" s="1079"/>
      <c r="F706" s="1079"/>
      <c r="G706" s="1079"/>
      <c r="H706" s="1079"/>
      <c r="I706" s="1482" t="s">
        <v>1325</v>
      </c>
      <c r="J706" s="1373" t="s">
        <v>48</v>
      </c>
      <c r="K706" s="1374" t="s">
        <v>1082</v>
      </c>
      <c r="L706" s="1076" t="s">
        <v>27</v>
      </c>
      <c r="M706" s="1076" t="s">
        <v>32</v>
      </c>
      <c r="N706" s="1080">
        <v>312.19900000000001</v>
      </c>
      <c r="O706" s="1080">
        <v>312.19900000000001</v>
      </c>
      <c r="P706" s="1080">
        <v>259.64999999999998</v>
      </c>
      <c r="Q706" s="1080"/>
      <c r="R706" s="1080"/>
      <c r="S706" s="1080"/>
      <c r="W706" s="33"/>
      <c r="X706" s="33"/>
      <c r="Y706" s="33"/>
    </row>
    <row r="707" spans="1:25" s="9" customFormat="1" ht="12" customHeight="1">
      <c r="A707" s="833" t="s">
        <v>663</v>
      </c>
      <c r="B707" s="41"/>
      <c r="C707" s="42"/>
      <c r="D707" s="42"/>
      <c r="E707" s="42"/>
      <c r="F707" s="42"/>
      <c r="G707" s="42"/>
      <c r="H707" s="42"/>
      <c r="I707" s="43"/>
      <c r="J707" s="44"/>
      <c r="K707" s="45"/>
      <c r="L707" s="1062"/>
      <c r="M707" s="41"/>
      <c r="N707" s="32"/>
      <c r="O707" s="32"/>
      <c r="P707" s="32"/>
      <c r="Q707" s="32"/>
      <c r="R707" s="32"/>
      <c r="S707" s="32"/>
      <c r="W707" s="33"/>
      <c r="X707" s="33"/>
      <c r="Y707" s="33"/>
    </row>
    <row r="708" spans="1:25" s="9" customFormat="1" ht="12" hidden="1">
      <c r="A708" s="1127"/>
      <c r="B708" s="103"/>
      <c r="C708" s="85"/>
      <c r="D708" s="85"/>
      <c r="E708" s="85"/>
      <c r="F708" s="85"/>
      <c r="G708" s="85"/>
      <c r="H708" s="85"/>
      <c r="I708" s="1128"/>
      <c r="J708" s="1129"/>
      <c r="K708" s="1130"/>
      <c r="L708" s="1131"/>
      <c r="M708" s="567"/>
      <c r="N708" s="89"/>
      <c r="O708" s="424"/>
      <c r="P708" s="89"/>
      <c r="Q708" s="89"/>
      <c r="R708" s="89"/>
      <c r="S708" s="89"/>
      <c r="W708" s="33"/>
      <c r="X708" s="33"/>
      <c r="Y708" s="33"/>
    </row>
    <row r="709" spans="1:25" s="9" customFormat="1" ht="12" hidden="1">
      <c r="A709" s="2"/>
      <c r="B709" s="893"/>
      <c r="C709" s="1013"/>
      <c r="D709" s="1013"/>
      <c r="E709" s="1013"/>
      <c r="F709" s="1013"/>
      <c r="G709" s="1013"/>
      <c r="H709" s="1013"/>
      <c r="I709" s="1014"/>
      <c r="J709" s="1015"/>
      <c r="K709" s="1132"/>
      <c r="L709" s="1071"/>
      <c r="M709" s="567"/>
      <c r="N709" s="1016"/>
      <c r="O709" s="424"/>
      <c r="P709" s="1016"/>
      <c r="Q709" s="1016"/>
      <c r="R709" s="1016"/>
      <c r="S709" s="1016"/>
      <c r="W709" s="33"/>
      <c r="X709" s="33"/>
      <c r="Y709" s="33"/>
    </row>
    <row r="710" spans="1:25" s="9" customFormat="1" ht="12" hidden="1">
      <c r="A710" s="1125"/>
      <c r="B710" s="1651"/>
      <c r="C710" s="1653"/>
      <c r="D710" s="1653"/>
      <c r="E710" s="1653"/>
      <c r="F710" s="1653"/>
      <c r="G710" s="1653"/>
      <c r="H710" s="1653"/>
      <c r="I710" s="1011"/>
      <c r="J710" s="1011"/>
      <c r="K710" s="1133"/>
      <c r="L710" s="1651"/>
      <c r="M710" s="1651"/>
      <c r="N710" s="1644"/>
      <c r="O710" s="1556"/>
      <c r="P710" s="1644"/>
      <c r="Q710" s="1644"/>
      <c r="R710" s="1644"/>
      <c r="S710" s="1644"/>
      <c r="W710" s="33"/>
      <c r="X710" s="33"/>
      <c r="Y710" s="33"/>
    </row>
    <row r="711" spans="1:25" s="9" customFormat="1" ht="12" hidden="1">
      <c r="A711" s="1065"/>
      <c r="B711" s="1652"/>
      <c r="C711" s="1654"/>
      <c r="D711" s="1654"/>
      <c r="E711" s="1654"/>
      <c r="F711" s="1654"/>
      <c r="G711" s="1654"/>
      <c r="H711" s="1654"/>
      <c r="I711" s="1134"/>
      <c r="J711" s="1134"/>
      <c r="K711" s="1135"/>
      <c r="L711" s="1652"/>
      <c r="M711" s="1652"/>
      <c r="N711" s="1645"/>
      <c r="O711" s="1561"/>
      <c r="P711" s="1645"/>
      <c r="Q711" s="1645"/>
      <c r="R711" s="1846"/>
      <c r="S711" s="1846"/>
      <c r="W711" s="33"/>
      <c r="X711" s="33"/>
      <c r="Y711" s="33"/>
    </row>
    <row r="712" spans="1:25" s="9" customFormat="1" ht="60.75" customHeight="1">
      <c r="A712" s="1136" t="s">
        <v>1326</v>
      </c>
      <c r="B712" s="1651" t="s">
        <v>302</v>
      </c>
      <c r="C712" s="1653"/>
      <c r="D712" s="1653"/>
      <c r="E712" s="1653"/>
      <c r="F712" s="1608" t="s">
        <v>315</v>
      </c>
      <c r="G712" s="1608" t="s">
        <v>419</v>
      </c>
      <c r="H712" s="1608" t="s">
        <v>316</v>
      </c>
      <c r="I712" s="230" t="s">
        <v>949</v>
      </c>
      <c r="J712" s="230" t="s">
        <v>48</v>
      </c>
      <c r="K712" s="231" t="s">
        <v>950</v>
      </c>
      <c r="L712" s="1651" t="s">
        <v>27</v>
      </c>
      <c r="M712" s="1651" t="s">
        <v>32</v>
      </c>
      <c r="N712" s="1644">
        <v>1000</v>
      </c>
      <c r="O712" s="1562">
        <v>1000</v>
      </c>
      <c r="P712" s="1644">
        <v>0</v>
      </c>
      <c r="Q712" s="1644"/>
      <c r="R712" s="1644"/>
      <c r="S712" s="1644"/>
      <c r="W712" s="33"/>
      <c r="X712" s="33"/>
      <c r="Y712" s="33"/>
    </row>
    <row r="713" spans="1:25" s="9" customFormat="1" ht="63" customHeight="1">
      <c r="A713" s="98"/>
      <c r="B713" s="1652"/>
      <c r="C713" s="1671"/>
      <c r="D713" s="1671"/>
      <c r="E713" s="1671"/>
      <c r="F713" s="1650"/>
      <c r="G713" s="1650"/>
      <c r="H713" s="1650"/>
      <c r="I713" s="1137" t="s">
        <v>943</v>
      </c>
      <c r="J713" s="1011" t="s">
        <v>48</v>
      </c>
      <c r="K713" s="1133" t="s">
        <v>944</v>
      </c>
      <c r="L713" s="1652"/>
      <c r="M713" s="1652"/>
      <c r="N713" s="1645"/>
      <c r="O713" s="1561"/>
      <c r="P713" s="1645"/>
      <c r="Q713" s="1645"/>
      <c r="R713" s="1846"/>
      <c r="S713" s="1846"/>
      <c r="W713" s="33"/>
      <c r="X713" s="33"/>
      <c r="Y713" s="33"/>
    </row>
    <row r="714" spans="1:25" s="9" customFormat="1" ht="75" customHeight="1">
      <c r="A714" s="98"/>
      <c r="B714" s="173" t="s">
        <v>1011</v>
      </c>
      <c r="C714" s="82"/>
      <c r="D714" s="82"/>
      <c r="E714" s="82"/>
      <c r="F714" s="1650"/>
      <c r="G714" s="37"/>
      <c r="H714" s="37"/>
      <c r="I714" s="1138" t="s">
        <v>1006</v>
      </c>
      <c r="J714" s="1134" t="s">
        <v>48</v>
      </c>
      <c r="K714" s="1119" t="s">
        <v>1007</v>
      </c>
      <c r="L714" s="173" t="s">
        <v>27</v>
      </c>
      <c r="M714" s="173" t="s">
        <v>32</v>
      </c>
      <c r="N714" s="1139">
        <v>285</v>
      </c>
      <c r="O714" s="1562">
        <v>285</v>
      </c>
      <c r="P714" s="1139">
        <v>0</v>
      </c>
      <c r="Q714" s="1139"/>
      <c r="R714" s="1139"/>
      <c r="S714" s="1139"/>
      <c r="W714" s="33"/>
      <c r="X714" s="33"/>
      <c r="Y714" s="33"/>
    </row>
    <row r="715" spans="1:25" s="9" customFormat="1" ht="60.75" customHeight="1">
      <c r="A715" s="98"/>
      <c r="B715" s="173"/>
      <c r="C715" s="82"/>
      <c r="D715" s="82"/>
      <c r="E715" s="82"/>
      <c r="F715" s="37"/>
      <c r="G715" s="37"/>
      <c r="H715" s="37"/>
      <c r="I715" s="1140" t="s">
        <v>1012</v>
      </c>
      <c r="J715" s="1118" t="s">
        <v>48</v>
      </c>
      <c r="K715" s="1119" t="s">
        <v>1013</v>
      </c>
      <c r="L715" s="173"/>
      <c r="M715" s="173"/>
      <c r="N715" s="1139"/>
      <c r="O715" s="1562"/>
      <c r="P715" s="1139"/>
      <c r="Q715" s="1139"/>
      <c r="R715" s="1139"/>
      <c r="S715" s="1139"/>
      <c r="W715" s="33"/>
      <c r="X715" s="33"/>
      <c r="Y715" s="33"/>
    </row>
    <row r="716" spans="1:25" s="18" customFormat="1" ht="285.75" customHeight="1">
      <c r="A716" s="1141" t="s">
        <v>382</v>
      </c>
      <c r="B716" s="229" t="s">
        <v>428</v>
      </c>
      <c r="C716" s="1275" t="s">
        <v>1449</v>
      </c>
      <c r="D716" s="1275" t="s">
        <v>1454</v>
      </c>
      <c r="E716" s="1275" t="s">
        <v>1159</v>
      </c>
      <c r="F716" s="104"/>
      <c r="G716" s="104"/>
      <c r="H716" s="1142"/>
      <c r="I716" s="1143"/>
      <c r="J716" s="1143"/>
      <c r="K716" s="1143"/>
      <c r="L716" s="985" t="s">
        <v>29</v>
      </c>
      <c r="M716" s="985" t="s">
        <v>18</v>
      </c>
      <c r="N716" s="898">
        <f t="shared" ref="N716:Q716" si="133">SUM(N719:N720)</f>
        <v>2200</v>
      </c>
      <c r="O716" s="1536">
        <f t="shared" si="133"/>
        <v>1400</v>
      </c>
      <c r="P716" s="898">
        <f t="shared" si="133"/>
        <v>0</v>
      </c>
      <c r="Q716" s="898">
        <f t="shared" si="133"/>
        <v>0</v>
      </c>
      <c r="R716" s="898">
        <f t="shared" ref="R716:S716" si="134">SUM(R719:R720)</f>
        <v>0</v>
      </c>
      <c r="S716" s="898">
        <f t="shared" si="134"/>
        <v>0</v>
      </c>
      <c r="W716" s="19"/>
      <c r="X716" s="19"/>
      <c r="Y716" s="19"/>
    </row>
    <row r="717" spans="1:25" s="18" customFormat="1" ht="24">
      <c r="A717" s="914" t="s">
        <v>812</v>
      </c>
      <c r="B717" s="229"/>
      <c r="C717" s="104"/>
      <c r="D717" s="104"/>
      <c r="E717" s="104"/>
      <c r="F717" s="104"/>
      <c r="G717" s="104"/>
      <c r="H717" s="104"/>
      <c r="I717" s="911"/>
      <c r="J717" s="911"/>
      <c r="K717" s="911"/>
      <c r="L717" s="229"/>
      <c r="M717" s="229"/>
      <c r="N717" s="109"/>
      <c r="O717" s="109"/>
      <c r="P717" s="109"/>
      <c r="Q717" s="109"/>
      <c r="R717" s="109"/>
      <c r="S717" s="109"/>
      <c r="W717" s="19"/>
      <c r="X717" s="19"/>
      <c r="Y717" s="19"/>
    </row>
    <row r="718" spans="1:25" s="18" customFormat="1" ht="63.75" customHeight="1">
      <c r="A718" s="914" t="s">
        <v>1327</v>
      </c>
      <c r="B718" s="229"/>
      <c r="C718" s="104"/>
      <c r="D718" s="104"/>
      <c r="E718" s="104"/>
      <c r="F718" s="104"/>
      <c r="G718" s="104"/>
      <c r="H718" s="104"/>
      <c r="I718" s="1099" t="s">
        <v>1323</v>
      </c>
      <c r="J718" s="911" t="s">
        <v>48</v>
      </c>
      <c r="K718" s="911" t="s">
        <v>849</v>
      </c>
      <c r="L718" s="229"/>
      <c r="M718" s="229"/>
      <c r="N718" s="109"/>
      <c r="O718" s="109"/>
      <c r="P718" s="109"/>
      <c r="Q718" s="109"/>
      <c r="R718" s="109"/>
      <c r="S718" s="109"/>
      <c r="W718" s="19"/>
      <c r="X718" s="19"/>
      <c r="Y718" s="19"/>
    </row>
    <row r="719" spans="1:25" s="18" customFormat="1" ht="46.5" customHeight="1">
      <c r="A719" s="1646" t="s">
        <v>813</v>
      </c>
      <c r="B719" s="180" t="s">
        <v>848</v>
      </c>
      <c r="C719" s="98"/>
      <c r="D719" s="98"/>
      <c r="E719" s="98"/>
      <c r="F719" s="1590" t="s">
        <v>1328</v>
      </c>
      <c r="G719" s="1590" t="s">
        <v>1329</v>
      </c>
      <c r="H719" s="98"/>
      <c r="I719" s="1648" t="s">
        <v>905</v>
      </c>
      <c r="J719" s="1648" t="s">
        <v>48</v>
      </c>
      <c r="K719" s="385" t="s">
        <v>904</v>
      </c>
      <c r="L719" s="180" t="s">
        <v>29</v>
      </c>
      <c r="M719" s="180" t="s">
        <v>18</v>
      </c>
      <c r="N719" s="185">
        <v>110</v>
      </c>
      <c r="O719" s="419">
        <v>70</v>
      </c>
      <c r="P719" s="185">
        <v>0</v>
      </c>
      <c r="Q719" s="185"/>
      <c r="R719" s="185"/>
      <c r="S719" s="185"/>
      <c r="W719" s="19"/>
      <c r="X719" s="19"/>
      <c r="Y719" s="19"/>
    </row>
    <row r="720" spans="1:25" s="18" customFormat="1" ht="39.75" customHeight="1">
      <c r="A720" s="1647"/>
      <c r="B720" s="35" t="s">
        <v>897</v>
      </c>
      <c r="C720" s="36"/>
      <c r="D720" s="36"/>
      <c r="E720" s="36"/>
      <c r="F720" s="1656"/>
      <c r="G720" s="1656"/>
      <c r="H720" s="36"/>
      <c r="I720" s="1649"/>
      <c r="J720" s="1649"/>
      <c r="K720" s="182"/>
      <c r="L720" s="272" t="s">
        <v>29</v>
      </c>
      <c r="M720" s="272" t="s">
        <v>18</v>
      </c>
      <c r="N720" s="1144">
        <v>2090</v>
      </c>
      <c r="O720" s="1562">
        <v>1330</v>
      </c>
      <c r="P720" s="1144">
        <v>0</v>
      </c>
      <c r="Q720" s="1144"/>
      <c r="R720" s="1144"/>
      <c r="S720" s="1144"/>
      <c r="W720" s="19"/>
      <c r="X720" s="19"/>
      <c r="Y720" s="19"/>
    </row>
    <row r="721" spans="1:25" s="18" customFormat="1" ht="60.75" customHeight="1">
      <c r="A721" s="1145" t="s">
        <v>814</v>
      </c>
      <c r="B721" s="985" t="s">
        <v>436</v>
      </c>
      <c r="C721" s="1275" t="s">
        <v>1449</v>
      </c>
      <c r="D721" s="1275" t="s">
        <v>1455</v>
      </c>
      <c r="E721" s="1275" t="s">
        <v>1159</v>
      </c>
      <c r="F721" s="986"/>
      <c r="G721" s="986"/>
      <c r="H721" s="986"/>
      <c r="I721" s="1146"/>
      <c r="J721" s="826"/>
      <c r="K721" s="1147"/>
      <c r="L721" s="985"/>
      <c r="M721" s="985"/>
      <c r="N721" s="898">
        <f t="shared" ref="N721:Q721" si="135">SUM(N724:N724)</f>
        <v>856.92499999999995</v>
      </c>
      <c r="O721" s="1511">
        <f t="shared" si="135"/>
        <v>856.92499999999995</v>
      </c>
      <c r="P721" s="898">
        <f t="shared" si="135"/>
        <v>0</v>
      </c>
      <c r="Q721" s="898">
        <f t="shared" si="135"/>
        <v>0</v>
      </c>
      <c r="R721" s="898">
        <f t="shared" ref="R721:S721" si="136">SUM(R724:R724)</f>
        <v>0</v>
      </c>
      <c r="S721" s="898">
        <f t="shared" si="136"/>
        <v>0</v>
      </c>
      <c r="W721" s="19"/>
      <c r="X721" s="19"/>
      <c r="Y721" s="19"/>
    </row>
    <row r="722" spans="1:25" s="18" customFormat="1" ht="12" customHeight="1">
      <c r="A722" s="914" t="s">
        <v>815</v>
      </c>
      <c r="B722" s="229"/>
      <c r="C722" s="104"/>
      <c r="D722" s="104"/>
      <c r="E722" s="104"/>
      <c r="F722" s="104"/>
      <c r="G722" s="104"/>
      <c r="H722" s="104"/>
      <c r="I722" s="117"/>
      <c r="J722" s="230"/>
      <c r="K722" s="231"/>
      <c r="L722" s="229"/>
      <c r="M722" s="229"/>
      <c r="N722" s="109"/>
      <c r="O722" s="109"/>
      <c r="P722" s="109"/>
      <c r="Q722" s="109"/>
      <c r="R722" s="109"/>
      <c r="S722" s="109"/>
      <c r="W722" s="19"/>
      <c r="X722" s="19"/>
      <c r="Y722" s="19"/>
    </row>
    <row r="723" spans="1:25" s="18" customFormat="1" ht="50.25" customHeight="1">
      <c r="A723" s="914" t="s">
        <v>816</v>
      </c>
      <c r="B723" s="229"/>
      <c r="C723" s="104"/>
      <c r="D723" s="104"/>
      <c r="E723" s="104"/>
      <c r="F723" s="104"/>
      <c r="G723" s="104"/>
      <c r="H723" s="104"/>
      <c r="I723" s="117"/>
      <c r="J723" s="230"/>
      <c r="K723" s="231"/>
      <c r="L723" s="229"/>
      <c r="M723" s="229"/>
      <c r="N723" s="109"/>
      <c r="O723" s="109"/>
      <c r="P723" s="109"/>
      <c r="Q723" s="109"/>
      <c r="R723" s="109"/>
      <c r="S723" s="109"/>
      <c r="W723" s="19"/>
      <c r="X723" s="19"/>
      <c r="Y723" s="19"/>
    </row>
    <row r="724" spans="1:25" s="9" customFormat="1" ht="126.75" customHeight="1">
      <c r="A724" s="1022" t="s">
        <v>817</v>
      </c>
      <c r="B724" s="1148" t="s">
        <v>524</v>
      </c>
      <c r="C724" s="1149"/>
      <c r="D724" s="1149"/>
      <c r="E724" s="1149"/>
      <c r="F724" s="1149" t="s">
        <v>568</v>
      </c>
      <c r="G724" s="1149" t="s">
        <v>1330</v>
      </c>
      <c r="H724" s="1149" t="s">
        <v>472</v>
      </c>
      <c r="I724" s="1011" t="s">
        <v>957</v>
      </c>
      <c r="J724" s="1011" t="s">
        <v>48</v>
      </c>
      <c r="K724" s="1133" t="s">
        <v>924</v>
      </c>
      <c r="L724" s="1148" t="s">
        <v>27</v>
      </c>
      <c r="M724" s="1148" t="s">
        <v>32</v>
      </c>
      <c r="N724" s="1150">
        <v>856.92499999999995</v>
      </c>
      <c r="O724" s="1563">
        <v>856.92499999999995</v>
      </c>
      <c r="P724" s="1150">
        <v>0</v>
      </c>
      <c r="Q724" s="1150"/>
      <c r="R724" s="1150"/>
      <c r="S724" s="1150"/>
      <c r="W724" s="33"/>
      <c r="X724" s="33"/>
      <c r="Y724" s="33"/>
    </row>
    <row r="725" spans="1:25" s="18" customFormat="1" ht="72">
      <c r="A725" s="1277" t="s">
        <v>1331</v>
      </c>
      <c r="B725" s="1379" t="s">
        <v>991</v>
      </c>
      <c r="C725" s="1370" t="s">
        <v>1449</v>
      </c>
      <c r="D725" s="1370" t="s">
        <v>1456</v>
      </c>
      <c r="E725" s="1370" t="s">
        <v>1159</v>
      </c>
      <c r="F725" s="1375"/>
      <c r="G725" s="1375"/>
      <c r="H725" s="1375"/>
      <c r="I725" s="1151" t="s">
        <v>1194</v>
      </c>
      <c r="J725" s="1151" t="s">
        <v>48</v>
      </c>
      <c r="K725" s="1152" t="s">
        <v>1291</v>
      </c>
      <c r="L725" s="1363"/>
      <c r="M725" s="1363"/>
      <c r="N725" s="1364">
        <f>SUM(N726:N727)</f>
        <v>60</v>
      </c>
      <c r="O725" s="1364">
        <f t="shared" ref="O725:S725" si="137">SUM(O726:O727)</f>
        <v>60</v>
      </c>
      <c r="P725" s="1364">
        <f t="shared" si="137"/>
        <v>0</v>
      </c>
      <c r="Q725" s="1364">
        <f t="shared" si="137"/>
        <v>0</v>
      </c>
      <c r="R725" s="1364">
        <f t="shared" si="137"/>
        <v>0</v>
      </c>
      <c r="S725" s="1364">
        <f t="shared" si="137"/>
        <v>0</v>
      </c>
      <c r="W725" s="19"/>
      <c r="X725" s="19"/>
      <c r="Y725" s="19"/>
    </row>
    <row r="726" spans="1:25" s="18" customFormat="1" ht="87" customHeight="1">
      <c r="A726" s="1153" t="s">
        <v>1333</v>
      </c>
      <c r="B726" s="1377"/>
      <c r="C726" s="100"/>
      <c r="D726" s="100"/>
      <c r="E726" s="100"/>
      <c r="F726" s="1262"/>
      <c r="G726" s="1262"/>
      <c r="H726" s="1262"/>
      <c r="I726" s="1151" t="s">
        <v>1332</v>
      </c>
      <c r="J726" s="1151" t="s">
        <v>48</v>
      </c>
      <c r="K726" s="1152" t="s">
        <v>81</v>
      </c>
      <c r="L726" s="1363"/>
      <c r="M726" s="1363"/>
      <c r="N726" s="1364"/>
      <c r="O726" s="1364"/>
      <c r="P726" s="1364"/>
      <c r="Q726" s="1364"/>
      <c r="R726" s="1364"/>
      <c r="S726" s="1364"/>
      <c r="W726" s="19"/>
      <c r="X726" s="19"/>
      <c r="Y726" s="19"/>
    </row>
    <row r="727" spans="1:25" s="18" customFormat="1" ht="68.25" customHeight="1">
      <c r="A727" s="100" t="s">
        <v>1334</v>
      </c>
      <c r="B727" s="1378"/>
      <c r="C727" s="100"/>
      <c r="D727" s="100"/>
      <c r="E727" s="100"/>
      <c r="F727" s="1367"/>
      <c r="G727" s="1367"/>
      <c r="H727" s="1367"/>
      <c r="I727" s="230" t="s">
        <v>985</v>
      </c>
      <c r="J727" s="230" t="s">
        <v>48</v>
      </c>
      <c r="K727" s="231" t="s">
        <v>986</v>
      </c>
      <c r="L727" s="1371"/>
      <c r="M727" s="1371"/>
      <c r="N727" s="1376">
        <v>60</v>
      </c>
      <c r="O727" s="1376">
        <v>60</v>
      </c>
      <c r="P727" s="1376"/>
      <c r="Q727" s="1376"/>
      <c r="R727" s="1376"/>
      <c r="S727" s="1376"/>
      <c r="W727" s="19"/>
      <c r="X727" s="19"/>
      <c r="Y727" s="19"/>
    </row>
    <row r="728" spans="1:25" s="18" customFormat="1" ht="72">
      <c r="A728" s="570" t="s">
        <v>1155</v>
      </c>
      <c r="B728" s="1096">
        <v>2339</v>
      </c>
      <c r="C728" s="1496" t="s">
        <v>1449</v>
      </c>
      <c r="D728" s="1496" t="s">
        <v>1457</v>
      </c>
      <c r="E728" s="1496" t="s">
        <v>1159</v>
      </c>
      <c r="F728" s="570"/>
      <c r="G728" s="570"/>
      <c r="H728" s="570"/>
      <c r="I728" s="573"/>
      <c r="J728" s="573"/>
      <c r="K728" s="1156"/>
      <c r="L728" s="571" t="s">
        <v>33</v>
      </c>
      <c r="M728" s="571" t="s">
        <v>33</v>
      </c>
      <c r="N728" s="574">
        <f t="shared" ref="N728:S728" si="138">SUM(N729:N735)</f>
        <v>202</v>
      </c>
      <c r="O728" s="574">
        <f t="shared" si="138"/>
        <v>202</v>
      </c>
      <c r="P728" s="574">
        <f t="shared" si="138"/>
        <v>30133.496000000003</v>
      </c>
      <c r="Q728" s="574">
        <f t="shared" si="138"/>
        <v>0</v>
      </c>
      <c r="R728" s="574">
        <f t="shared" si="138"/>
        <v>0</v>
      </c>
      <c r="S728" s="574">
        <f t="shared" si="138"/>
        <v>0</v>
      </c>
      <c r="W728" s="19"/>
      <c r="X728" s="19"/>
      <c r="Y728" s="19"/>
    </row>
    <row r="729" spans="1:25" s="18" customFormat="1" ht="24">
      <c r="A729" s="1153" t="s">
        <v>1148</v>
      </c>
      <c r="B729" s="35" t="s">
        <v>1153</v>
      </c>
      <c r="C729" s="90"/>
      <c r="D729" s="90"/>
      <c r="E729" s="90"/>
      <c r="F729" s="90"/>
      <c r="G729" s="90"/>
      <c r="H729" s="90"/>
      <c r="I729" s="1577" t="s">
        <v>1579</v>
      </c>
      <c r="J729" s="1409"/>
      <c r="K729" s="38"/>
      <c r="L729" s="91"/>
      <c r="M729" s="91"/>
      <c r="N729" s="17"/>
      <c r="O729" s="17"/>
      <c r="P729" s="17"/>
      <c r="Q729" s="17"/>
      <c r="R729" s="17"/>
      <c r="S729" s="17"/>
      <c r="W729" s="19"/>
      <c r="X729" s="19"/>
      <c r="Y729" s="19"/>
    </row>
    <row r="730" spans="1:25" s="18" customFormat="1" ht="75" customHeight="1">
      <c r="A730" s="1153" t="s">
        <v>1151</v>
      </c>
      <c r="B730" s="73"/>
      <c r="C730" s="90"/>
      <c r="D730" s="90"/>
      <c r="E730" s="90"/>
      <c r="F730" s="90"/>
      <c r="G730" s="90"/>
      <c r="H730" s="90"/>
      <c r="I730" s="1657"/>
      <c r="J730" s="1015"/>
      <c r="K730" s="1132"/>
      <c r="L730" s="1157"/>
      <c r="M730" s="1157"/>
      <c r="N730" s="1158"/>
      <c r="O730" s="1552"/>
      <c r="P730" s="1158"/>
      <c r="Q730" s="1158"/>
      <c r="R730" s="1158"/>
      <c r="S730" s="1158"/>
      <c r="W730" s="19"/>
      <c r="X730" s="19"/>
      <c r="Y730" s="19"/>
    </row>
    <row r="731" spans="1:25" s="18" customFormat="1" ht="61.5" customHeight="1">
      <c r="A731" s="1153" t="s">
        <v>1152</v>
      </c>
      <c r="B731" s="73"/>
      <c r="C731" s="90"/>
      <c r="D731" s="90"/>
      <c r="E731" s="90"/>
      <c r="F731" s="90"/>
      <c r="G731" s="90"/>
      <c r="H731" s="1159"/>
      <c r="I731" s="1487" t="s">
        <v>1154</v>
      </c>
      <c r="J731" s="948" t="s">
        <v>48</v>
      </c>
      <c r="K731" s="38" t="s">
        <v>1156</v>
      </c>
      <c r="L731" s="91"/>
      <c r="M731" s="91"/>
      <c r="N731" s="462">
        <v>0</v>
      </c>
      <c r="O731" s="462">
        <v>0</v>
      </c>
      <c r="P731" s="462">
        <v>212.89</v>
      </c>
      <c r="Q731" s="462"/>
      <c r="R731" s="462"/>
      <c r="S731" s="462"/>
      <c r="W731" s="19"/>
      <c r="X731" s="19"/>
      <c r="Y731" s="19"/>
    </row>
    <row r="732" spans="1:25" s="18" customFormat="1" ht="54" customHeight="1">
      <c r="A732" s="126" t="s">
        <v>1517</v>
      </c>
      <c r="B732" s="258" t="s">
        <v>899</v>
      </c>
      <c r="C732" s="1160"/>
      <c r="D732" s="1160"/>
      <c r="E732" s="1160"/>
      <c r="F732" s="1160"/>
      <c r="G732" s="1160"/>
      <c r="H732" s="1159"/>
      <c r="I732" s="1658" t="s">
        <v>1518</v>
      </c>
      <c r="J732" s="1410" t="s">
        <v>48</v>
      </c>
      <c r="K732" s="1161" t="s">
        <v>1519</v>
      </c>
      <c r="L732" s="695"/>
      <c r="M732" s="1162"/>
      <c r="N732" s="1380">
        <v>0</v>
      </c>
      <c r="O732" s="701">
        <v>0</v>
      </c>
      <c r="P732" s="946">
        <v>299.20600000000002</v>
      </c>
      <c r="Q732" s="701"/>
      <c r="R732" s="946"/>
      <c r="S732" s="701"/>
      <c r="W732" s="19"/>
      <c r="X732" s="19"/>
      <c r="Y732" s="19"/>
    </row>
    <row r="733" spans="1:25" s="18" customFormat="1" ht="24">
      <c r="A733" s="389"/>
      <c r="B733" s="258" t="s">
        <v>1107</v>
      </c>
      <c r="C733" s="1160"/>
      <c r="D733" s="1160"/>
      <c r="E733" s="1160"/>
      <c r="F733" s="1160"/>
      <c r="G733" s="1160"/>
      <c r="H733" s="1159"/>
      <c r="I733" s="1658"/>
      <c r="J733" s="44"/>
      <c r="K733" s="1163"/>
      <c r="L733" s="709"/>
      <c r="M733" s="1164"/>
      <c r="N733" s="1381">
        <v>0</v>
      </c>
      <c r="O733" s="32">
        <v>0</v>
      </c>
      <c r="P733" s="947">
        <v>29621.4</v>
      </c>
      <c r="Q733" s="32"/>
      <c r="R733" s="947"/>
      <c r="S733" s="32"/>
      <c r="W733" s="19"/>
      <c r="X733" s="19"/>
      <c r="Y733" s="19"/>
    </row>
    <row r="734" spans="1:25" s="18" customFormat="1" ht="63.75" customHeight="1">
      <c r="A734" s="28" t="s">
        <v>1149</v>
      </c>
      <c r="B734" s="1462" t="s">
        <v>1150</v>
      </c>
      <c r="C734" s="1088"/>
      <c r="D734" s="1088"/>
      <c r="E734" s="1088"/>
      <c r="F734" s="1634" t="s">
        <v>315</v>
      </c>
      <c r="G734" s="28" t="s">
        <v>1335</v>
      </c>
      <c r="H734" s="96" t="s">
        <v>316</v>
      </c>
      <c r="I734" s="1391" t="s">
        <v>972</v>
      </c>
      <c r="J734" s="1428" t="s">
        <v>48</v>
      </c>
      <c r="K734" s="1165" t="s">
        <v>973</v>
      </c>
      <c r="L734" s="1462" t="s">
        <v>33</v>
      </c>
      <c r="M734" s="1462" t="s">
        <v>33</v>
      </c>
      <c r="N734" s="1126">
        <v>202</v>
      </c>
      <c r="O734" s="32">
        <v>202</v>
      </c>
      <c r="P734" s="32"/>
      <c r="Q734" s="1166"/>
      <c r="R734" s="1166"/>
      <c r="S734" s="1166"/>
      <c r="W734" s="19"/>
      <c r="X734" s="19"/>
      <c r="Y734" s="19"/>
    </row>
    <row r="735" spans="1:25" s="18" customFormat="1" ht="61.5" customHeight="1">
      <c r="A735" s="1153" t="s">
        <v>1336</v>
      </c>
      <c r="B735" s="1167"/>
      <c r="C735" s="106"/>
      <c r="D735" s="106"/>
      <c r="E735" s="106"/>
      <c r="F735" s="1655"/>
      <c r="G735" s="106"/>
      <c r="H735" s="1168"/>
      <c r="I735" s="44" t="s">
        <v>983</v>
      </c>
      <c r="J735" s="1391" t="s">
        <v>48</v>
      </c>
      <c r="K735" s="265" t="s">
        <v>984</v>
      </c>
      <c r="L735" s="258"/>
      <c r="M735" s="258"/>
      <c r="N735" s="1169"/>
      <c r="O735" s="32"/>
      <c r="P735" s="32"/>
      <c r="Q735" s="1166"/>
      <c r="R735" s="1166"/>
      <c r="S735" s="1166"/>
      <c r="W735" s="19"/>
      <c r="X735" s="19"/>
      <c r="Y735" s="19"/>
    </row>
    <row r="736" spans="1:25" s="18" customFormat="1" ht="51" customHeight="1">
      <c r="A736" s="104" t="s">
        <v>1337</v>
      </c>
      <c r="B736" s="105" t="s">
        <v>992</v>
      </c>
      <c r="C736" s="1297" t="s">
        <v>1458</v>
      </c>
      <c r="D736" s="1298" t="s">
        <v>48</v>
      </c>
      <c r="E736" s="1299" t="s">
        <v>1459</v>
      </c>
      <c r="F736" s="50"/>
      <c r="G736" s="50"/>
      <c r="H736" s="50"/>
      <c r="I736" s="1170"/>
      <c r="J736" s="230"/>
      <c r="K736" s="1171"/>
      <c r="L736" s="229" t="s">
        <v>29</v>
      </c>
      <c r="M736" s="1172" t="s">
        <v>18</v>
      </c>
      <c r="N736" s="109">
        <v>120</v>
      </c>
      <c r="O736" s="1564">
        <v>120</v>
      </c>
      <c r="P736" s="109">
        <v>0</v>
      </c>
      <c r="Q736" s="109">
        <v>0</v>
      </c>
      <c r="R736" s="109">
        <v>0</v>
      </c>
      <c r="S736" s="109">
        <v>0</v>
      </c>
      <c r="W736" s="19"/>
      <c r="X736" s="19"/>
      <c r="Y736" s="19"/>
    </row>
    <row r="737" spans="1:25" s="18" customFormat="1" ht="87.75" customHeight="1">
      <c r="A737" s="1153" t="s">
        <v>1148</v>
      </c>
      <c r="B737" s="566"/>
      <c r="C737" s="1160"/>
      <c r="D737" s="585"/>
      <c r="E737" s="1160"/>
      <c r="F737" s="217"/>
      <c r="G737" s="1423"/>
      <c r="H737" s="217"/>
      <c r="I737" s="1211" t="s">
        <v>1339</v>
      </c>
      <c r="J737" s="1391" t="s">
        <v>48</v>
      </c>
      <c r="K737" s="1173" t="s">
        <v>1220</v>
      </c>
      <c r="L737" s="1154"/>
      <c r="M737" s="1174"/>
      <c r="N737" s="1155"/>
      <c r="O737" s="1175"/>
      <c r="P737" s="1175"/>
      <c r="Q737" s="1175"/>
      <c r="R737" s="1175"/>
      <c r="S737" s="1175"/>
      <c r="W737" s="19"/>
      <c r="X737" s="19"/>
      <c r="Y737" s="19"/>
    </row>
    <row r="738" spans="1:25" s="18" customFormat="1" ht="50.25" customHeight="1">
      <c r="A738" s="1153" t="s">
        <v>1338</v>
      </c>
      <c r="B738" s="1176"/>
      <c r="C738" s="106"/>
      <c r="D738" s="1177"/>
      <c r="E738" s="106"/>
      <c r="F738" s="393"/>
      <c r="G738" s="1484"/>
      <c r="H738" s="393"/>
      <c r="I738" s="1178" t="s">
        <v>995</v>
      </c>
      <c r="J738" s="44" t="s">
        <v>48</v>
      </c>
      <c r="K738" s="1179" t="s">
        <v>996</v>
      </c>
      <c r="L738" s="709"/>
      <c r="M738" s="1180"/>
      <c r="N738" s="1166"/>
      <c r="O738" s="1181"/>
      <c r="P738" s="1181"/>
      <c r="Q738" s="1181"/>
      <c r="R738" s="1181"/>
      <c r="S738" s="1181"/>
      <c r="W738" s="19"/>
      <c r="X738" s="19"/>
      <c r="Y738" s="19"/>
    </row>
    <row r="739" spans="1:25" s="9" customFormat="1" ht="111.75" hidden="1" customHeight="1">
      <c r="A739" s="10" t="s">
        <v>1340</v>
      </c>
      <c r="B739" s="347">
        <v>2348</v>
      </c>
      <c r="C739" s="12"/>
      <c r="D739" s="12"/>
      <c r="E739" s="12"/>
      <c r="F739" s="12"/>
      <c r="G739" s="12"/>
      <c r="H739" s="12"/>
      <c r="I739" s="11"/>
      <c r="J739" s="758"/>
      <c r="K739" s="758"/>
      <c r="L739" s="1182"/>
      <c r="M739" s="1182"/>
      <c r="N739" s="341"/>
      <c r="O739" s="1510"/>
      <c r="P739" s="341"/>
      <c r="Q739" s="341"/>
      <c r="R739" s="341"/>
      <c r="S739" s="341"/>
      <c r="W739" s="33"/>
      <c r="X739" s="33"/>
      <c r="Y739" s="33"/>
    </row>
    <row r="740" spans="1:25" s="9" customFormat="1" ht="63.75" customHeight="1">
      <c r="A740" s="1141" t="s">
        <v>383</v>
      </c>
      <c r="B740" s="229" t="s">
        <v>447</v>
      </c>
      <c r="C740" s="1457" t="s">
        <v>1449</v>
      </c>
      <c r="D740" s="1457" t="s">
        <v>1460</v>
      </c>
      <c r="E740" s="1457" t="s">
        <v>1159</v>
      </c>
      <c r="F740" s="2"/>
      <c r="G740" s="2"/>
      <c r="H740" s="2"/>
      <c r="I740" s="1183"/>
      <c r="J740" s="1184"/>
      <c r="K740" s="1185"/>
      <c r="L740" s="229" t="s">
        <v>29</v>
      </c>
      <c r="M740" s="229" t="s">
        <v>18</v>
      </c>
      <c r="N740" s="109">
        <f t="shared" ref="N740:Q740" si="139">SUM(N742:N743)</f>
        <v>412.06299999999999</v>
      </c>
      <c r="O740" s="109">
        <f t="shared" si="139"/>
        <v>412.06299999999999</v>
      </c>
      <c r="P740" s="109">
        <f>SUM(P742:P743)</f>
        <v>1200</v>
      </c>
      <c r="Q740" s="109">
        <f t="shared" si="139"/>
        <v>0</v>
      </c>
      <c r="R740" s="109">
        <f t="shared" ref="R740:S740" si="140">SUM(R742:R743)</f>
        <v>0</v>
      </c>
      <c r="S740" s="109">
        <f t="shared" si="140"/>
        <v>0</v>
      </c>
      <c r="W740" s="33"/>
      <c r="X740" s="33"/>
      <c r="Y740" s="33"/>
    </row>
    <row r="741" spans="1:25" s="9" customFormat="1" ht="75" customHeight="1">
      <c r="A741" s="910" t="s">
        <v>846</v>
      </c>
      <c r="B741" s="1172"/>
      <c r="C741" s="1634"/>
      <c r="D741" s="1634"/>
      <c r="E741" s="1636"/>
      <c r="F741" s="1635" t="s">
        <v>1342</v>
      </c>
      <c r="G741" s="1635" t="s">
        <v>569</v>
      </c>
      <c r="H741" s="1635" t="s">
        <v>472</v>
      </c>
      <c r="I741" s="1223" t="s">
        <v>1341</v>
      </c>
      <c r="J741" s="1224" t="s">
        <v>48</v>
      </c>
      <c r="K741" s="1185" t="s">
        <v>555</v>
      </c>
      <c r="L741" s="695"/>
      <c r="M741" s="695"/>
      <c r="N741" s="696"/>
      <c r="O741" s="696"/>
      <c r="P741" s="696"/>
      <c r="Q741" s="696"/>
      <c r="R741" s="696"/>
      <c r="S741" s="696"/>
      <c r="W741" s="33"/>
      <c r="X741" s="33"/>
      <c r="Y741" s="33"/>
    </row>
    <row r="742" spans="1:25" s="9" customFormat="1" ht="38.25" customHeight="1">
      <c r="A742" s="1022" t="s">
        <v>847</v>
      </c>
      <c r="B742" s="1222" t="s">
        <v>965</v>
      </c>
      <c r="C742" s="1635"/>
      <c r="D742" s="1635"/>
      <c r="E742" s="1637"/>
      <c r="F742" s="1635"/>
      <c r="G742" s="1635"/>
      <c r="H742" s="1635"/>
      <c r="I742" s="1627" t="s">
        <v>1555</v>
      </c>
      <c r="J742" s="1577" t="s">
        <v>48</v>
      </c>
      <c r="K742" s="1577" t="s">
        <v>1556</v>
      </c>
      <c r="L742" s="700"/>
      <c r="M742" s="700"/>
      <c r="N742" s="701">
        <v>20.603999999999999</v>
      </c>
      <c r="O742" s="701">
        <v>20.603999999999999</v>
      </c>
      <c r="P742" s="701">
        <v>60</v>
      </c>
      <c r="Q742" s="701"/>
      <c r="R742" s="1380"/>
      <c r="S742" s="701"/>
      <c r="W742" s="33"/>
      <c r="X742" s="33"/>
      <c r="Y742" s="33"/>
    </row>
    <row r="743" spans="1:25" s="9" customFormat="1" ht="38.25" customHeight="1">
      <c r="A743" s="1159"/>
      <c r="B743" s="258" t="s">
        <v>589</v>
      </c>
      <c r="C743" s="100"/>
      <c r="D743" s="100"/>
      <c r="E743" s="100"/>
      <c r="F743" s="1635"/>
      <c r="G743" s="1635"/>
      <c r="H743" s="1635"/>
      <c r="I743" s="1628"/>
      <c r="J743" s="1629"/>
      <c r="K743" s="1629"/>
      <c r="L743" s="258"/>
      <c r="M743" s="258"/>
      <c r="N743" s="462">
        <v>391.459</v>
      </c>
      <c r="O743" s="462">
        <v>391.459</v>
      </c>
      <c r="P743" s="462">
        <v>1140</v>
      </c>
      <c r="Q743" s="462"/>
      <c r="R743" s="1565"/>
      <c r="S743" s="462"/>
      <c r="W743" s="33"/>
      <c r="X743" s="33"/>
      <c r="Y743" s="33"/>
    </row>
    <row r="744" spans="1:25" s="9" customFormat="1" ht="76.5" customHeight="1">
      <c r="A744" s="1159"/>
      <c r="B744" s="41"/>
      <c r="C744" s="42"/>
      <c r="D744" s="42"/>
      <c r="E744" s="42"/>
      <c r="F744" s="1484"/>
      <c r="G744" s="1484"/>
      <c r="H744" s="1484"/>
      <c r="I744" s="1300" t="s">
        <v>1624</v>
      </c>
      <c r="J744" s="1486" t="s">
        <v>48</v>
      </c>
      <c r="K744" s="1486" t="s">
        <v>1625</v>
      </c>
      <c r="L744" s="41"/>
      <c r="M744" s="41"/>
      <c r="N744" s="32"/>
      <c r="O744" s="32"/>
      <c r="P744" s="32"/>
      <c r="Q744" s="32"/>
      <c r="R744" s="1381"/>
      <c r="S744" s="32"/>
      <c r="W744" s="33"/>
      <c r="X744" s="33"/>
      <c r="Y744" s="33"/>
    </row>
    <row r="745" spans="1:25" s="9" customFormat="1" ht="72">
      <c r="A745" s="228" t="s">
        <v>384</v>
      </c>
      <c r="B745" s="709" t="s">
        <v>385</v>
      </c>
      <c r="C745" s="100" t="s">
        <v>1449</v>
      </c>
      <c r="D745" s="100" t="s">
        <v>1461</v>
      </c>
      <c r="E745" s="100" t="s">
        <v>1159</v>
      </c>
      <c r="F745" s="1225"/>
      <c r="G745" s="1225"/>
      <c r="H745" s="1225"/>
      <c r="I745" s="1226"/>
      <c r="J745" s="1227"/>
      <c r="K745" s="1189"/>
      <c r="L745" s="1167" t="s">
        <v>20</v>
      </c>
      <c r="M745" s="1167" t="s">
        <v>32</v>
      </c>
      <c r="N745" s="1166">
        <f t="shared" ref="N745:S745" si="141">SUM(N746:N749)</f>
        <v>75347</v>
      </c>
      <c r="O745" s="1166">
        <f t="shared" si="141"/>
        <v>75347</v>
      </c>
      <c r="P745" s="1166">
        <f t="shared" si="141"/>
        <v>73598.2</v>
      </c>
      <c r="Q745" s="1166">
        <f t="shared" si="141"/>
        <v>75124.399999999994</v>
      </c>
      <c r="R745" s="1166">
        <f t="shared" si="141"/>
        <v>74478</v>
      </c>
      <c r="S745" s="1166">
        <f t="shared" si="141"/>
        <v>73241</v>
      </c>
      <c r="W745" s="33"/>
      <c r="X745" s="33"/>
      <c r="Y745" s="33"/>
    </row>
    <row r="746" spans="1:25" s="9" customFormat="1" ht="24">
      <c r="A746" s="910" t="s">
        <v>818</v>
      </c>
      <c r="B746" s="229"/>
      <c r="C746" s="1186"/>
      <c r="D746" s="1186"/>
      <c r="E746" s="1186"/>
      <c r="F746" s="1186"/>
      <c r="G746" s="1186"/>
      <c r="H746" s="1186"/>
      <c r="I746" s="1187"/>
      <c r="J746" s="1188"/>
      <c r="K746" s="1189"/>
      <c r="L746" s="105"/>
      <c r="M746" s="105"/>
      <c r="N746" s="109"/>
      <c r="O746" s="109"/>
      <c r="P746" s="109"/>
      <c r="Q746" s="109"/>
      <c r="R746" s="109"/>
      <c r="S746" s="109"/>
      <c r="W746" s="33"/>
      <c r="X746" s="33"/>
      <c r="Y746" s="33"/>
    </row>
    <row r="747" spans="1:25" s="9" customFormat="1" ht="12" customHeight="1">
      <c r="A747" s="910" t="s">
        <v>819</v>
      </c>
      <c r="B747" s="229"/>
      <c r="C747" s="1190"/>
      <c r="D747" s="1190"/>
      <c r="E747" s="1190"/>
      <c r="F747" s="1190"/>
      <c r="G747" s="1190"/>
      <c r="H747" s="1190"/>
      <c r="I747" s="1630" t="s">
        <v>1343</v>
      </c>
      <c r="J747" s="1632" t="s">
        <v>48</v>
      </c>
      <c r="K747" s="1630" t="s">
        <v>849</v>
      </c>
      <c r="L747" s="1191"/>
      <c r="M747" s="1191"/>
      <c r="N747" s="1192"/>
      <c r="O747" s="1511"/>
      <c r="P747" s="1192"/>
      <c r="Q747" s="1192"/>
      <c r="R747" s="1192"/>
      <c r="S747" s="1192"/>
      <c r="W747" s="33"/>
      <c r="X747" s="33"/>
      <c r="Y747" s="33"/>
    </row>
    <row r="748" spans="1:25" s="9" customFormat="1" ht="26.25" customHeight="1">
      <c r="A748" s="1623" t="s">
        <v>820</v>
      </c>
      <c r="B748" s="1625"/>
      <c r="C748" s="1193"/>
      <c r="D748" s="1193"/>
      <c r="E748" s="1193"/>
      <c r="F748" s="1638" t="s">
        <v>1462</v>
      </c>
      <c r="G748" s="621" t="s">
        <v>1463</v>
      </c>
      <c r="H748" s="621" t="s">
        <v>1464</v>
      </c>
      <c r="I748" s="1631"/>
      <c r="J748" s="1633"/>
      <c r="K748" s="1631"/>
      <c r="L748" s="1194"/>
      <c r="M748" s="1194"/>
      <c r="N748" s="419">
        <v>75347</v>
      </c>
      <c r="O748" s="419">
        <v>75347</v>
      </c>
      <c r="P748" s="419">
        <v>73598.2</v>
      </c>
      <c r="Q748" s="419">
        <v>75124.399999999994</v>
      </c>
      <c r="R748" s="419">
        <v>74478</v>
      </c>
      <c r="S748" s="419">
        <v>73241</v>
      </c>
      <c r="W748" s="33"/>
      <c r="X748" s="33"/>
      <c r="Y748" s="33"/>
    </row>
    <row r="749" spans="1:25" s="9" customFormat="1" ht="99.75" customHeight="1">
      <c r="A749" s="1624"/>
      <c r="B749" s="1626"/>
      <c r="C749" s="1195"/>
      <c r="D749" s="1195"/>
      <c r="E749" s="1195"/>
      <c r="F749" s="1639"/>
      <c r="G749" s="1195"/>
      <c r="H749" s="1195"/>
      <c r="I749" s="1196" t="s">
        <v>1003</v>
      </c>
      <c r="J749" s="1197" t="s">
        <v>48</v>
      </c>
      <c r="K749" s="1197" t="s">
        <v>226</v>
      </c>
      <c r="L749" s="1198"/>
      <c r="M749" s="1198"/>
      <c r="N749" s="1123"/>
      <c r="O749" s="424"/>
      <c r="P749" s="1123"/>
      <c r="Q749" s="1123"/>
      <c r="R749" s="1123"/>
      <c r="S749" s="1123"/>
      <c r="W749" s="33"/>
      <c r="X749" s="33"/>
      <c r="Y749" s="33"/>
    </row>
    <row r="750" spans="1:25" s="18" customFormat="1" ht="53.25" hidden="1" customHeight="1">
      <c r="A750" s="1199" t="s">
        <v>3</v>
      </c>
      <c r="B750" s="1200" t="s">
        <v>231</v>
      </c>
      <c r="C750" s="1201" t="s">
        <v>24</v>
      </c>
      <c r="D750" s="1201" t="s">
        <v>24</v>
      </c>
      <c r="E750" s="1201" t="s">
        <v>24</v>
      </c>
      <c r="F750" s="1201" t="s">
        <v>24</v>
      </c>
      <c r="G750" s="1201" t="s">
        <v>24</v>
      </c>
      <c r="H750" s="1201" t="s">
        <v>24</v>
      </c>
      <c r="I750" s="1202" t="s">
        <v>232</v>
      </c>
      <c r="J750" s="1202" t="s">
        <v>48</v>
      </c>
      <c r="K750" s="1203" t="s">
        <v>230</v>
      </c>
      <c r="L750" s="1204" t="s">
        <v>27</v>
      </c>
      <c r="M750" s="1204" t="s">
        <v>28</v>
      </c>
      <c r="N750" s="972"/>
      <c r="O750" s="1566"/>
      <c r="P750" s="972"/>
      <c r="Q750" s="1567"/>
      <c r="R750" s="1567"/>
      <c r="S750" s="1567"/>
      <c r="W750" s="19"/>
      <c r="X750" s="19"/>
      <c r="Y750" s="19"/>
    </row>
    <row r="751" spans="1:25" s="9" customFormat="1" ht="53.25" hidden="1" customHeight="1">
      <c r="A751" s="104" t="s">
        <v>491</v>
      </c>
      <c r="B751" s="229" t="s">
        <v>492</v>
      </c>
      <c r="C751" s="50"/>
      <c r="D751" s="50"/>
      <c r="E751" s="50"/>
      <c r="F751" s="50" t="s">
        <v>493</v>
      </c>
      <c r="G751" s="50" t="s">
        <v>48</v>
      </c>
      <c r="H751" s="50" t="s">
        <v>494</v>
      </c>
      <c r="I751" s="1205" t="s">
        <v>496</v>
      </c>
      <c r="J751" s="230" t="s">
        <v>48</v>
      </c>
      <c r="K751" s="230" t="s">
        <v>550</v>
      </c>
      <c r="L751" s="229" t="s">
        <v>25</v>
      </c>
      <c r="M751" s="229" t="s">
        <v>29</v>
      </c>
      <c r="N751" s="109">
        <v>0</v>
      </c>
      <c r="O751" s="109"/>
      <c r="P751" s="109">
        <v>0</v>
      </c>
      <c r="Q751" s="109">
        <v>0</v>
      </c>
      <c r="R751" s="109">
        <v>0</v>
      </c>
      <c r="S751" s="109">
        <v>0</v>
      </c>
      <c r="W751" s="33"/>
      <c r="X751" s="33"/>
      <c r="Y751" s="33"/>
    </row>
    <row r="752" spans="1:25" s="9" customFormat="1" ht="38.25" customHeight="1">
      <c r="A752" s="104" t="s">
        <v>1604</v>
      </c>
      <c r="B752" s="229" t="s">
        <v>526</v>
      </c>
      <c r="C752" s="50"/>
      <c r="D752" s="50"/>
      <c r="E752" s="50"/>
      <c r="F752" s="50"/>
      <c r="G752" s="50"/>
      <c r="H752" s="50"/>
      <c r="I752" s="1205"/>
      <c r="J752" s="230"/>
      <c r="K752" s="230"/>
      <c r="L752" s="229" t="s">
        <v>25</v>
      </c>
      <c r="M752" s="229" t="s">
        <v>19</v>
      </c>
      <c r="N752" s="109">
        <v>0</v>
      </c>
      <c r="O752" s="109">
        <v>0</v>
      </c>
      <c r="P752" s="109">
        <v>0</v>
      </c>
      <c r="Q752" s="109">
        <v>0</v>
      </c>
      <c r="R752" s="109">
        <v>18000</v>
      </c>
      <c r="S752" s="109">
        <v>57784.4</v>
      </c>
      <c r="W752" s="33"/>
      <c r="X752" s="33"/>
      <c r="Y752" s="33"/>
    </row>
    <row r="753" spans="1:25" s="9" customFormat="1" ht="12" customHeight="1">
      <c r="A753" s="657" t="s">
        <v>37</v>
      </c>
      <c r="B753" s="52" t="s">
        <v>38</v>
      </c>
      <c r="C753" s="52" t="s">
        <v>22</v>
      </c>
      <c r="D753" s="52" t="s">
        <v>22</v>
      </c>
      <c r="E753" s="52" t="s">
        <v>22</v>
      </c>
      <c r="F753" s="52" t="s">
        <v>22</v>
      </c>
      <c r="G753" s="52" t="s">
        <v>22</v>
      </c>
      <c r="H753" s="52" t="s">
        <v>22</v>
      </c>
      <c r="I753" s="52" t="s">
        <v>22</v>
      </c>
      <c r="J753" s="52" t="s">
        <v>22</v>
      </c>
      <c r="K753" s="52" t="s">
        <v>22</v>
      </c>
      <c r="L753" s="52"/>
      <c r="M753" s="52"/>
      <c r="N753" s="1206">
        <f t="shared" ref="N753:S753" si="142">N6</f>
        <v>2643301.716</v>
      </c>
      <c r="O753" s="1568">
        <f t="shared" si="142"/>
        <v>2518354.9889599998</v>
      </c>
      <c r="P753" s="1206">
        <f t="shared" si="142"/>
        <v>2905383.2433900004</v>
      </c>
      <c r="Q753" s="1206">
        <f t="shared" si="142"/>
        <v>823219</v>
      </c>
      <c r="R753" s="1206">
        <f t="shared" si="142"/>
        <v>760299.2</v>
      </c>
      <c r="S753" s="1206">
        <f t="shared" si="142"/>
        <v>798577.70000000007</v>
      </c>
      <c r="W753" s="33"/>
      <c r="X753" s="33"/>
      <c r="Y753" s="33"/>
    </row>
    <row r="755" spans="1:25">
      <c r="P755" s="1210"/>
    </row>
  </sheetData>
  <mergeCells count="582">
    <mergeCell ref="A333:A340"/>
    <mergeCell ref="I387:I390"/>
    <mergeCell ref="J387:J390"/>
    <mergeCell ref="K387:K390"/>
    <mergeCell ref="C392:C394"/>
    <mergeCell ref="D392:D394"/>
    <mergeCell ref="E392:E394"/>
    <mergeCell ref="F392:F394"/>
    <mergeCell ref="G392:G394"/>
    <mergeCell ref="H392:H394"/>
    <mergeCell ref="I345:I347"/>
    <mergeCell ref="J345:J347"/>
    <mergeCell ref="I376:I380"/>
    <mergeCell ref="J376:J380"/>
    <mergeCell ref="K376:K379"/>
    <mergeCell ref="A378:A380"/>
    <mergeCell ref="B382:B386"/>
    <mergeCell ref="I382:I383"/>
    <mergeCell ref="J382:J383"/>
    <mergeCell ref="I384:I386"/>
    <mergeCell ref="K384:K386"/>
    <mergeCell ref="J285:J286"/>
    <mergeCell ref="K285:K286"/>
    <mergeCell ref="F287:F288"/>
    <mergeCell ref="G287:G288"/>
    <mergeCell ref="H287:H288"/>
    <mergeCell ref="A315:A316"/>
    <mergeCell ref="I315:I317"/>
    <mergeCell ref="I320:I321"/>
    <mergeCell ref="I322:I323"/>
    <mergeCell ref="J322:J323"/>
    <mergeCell ref="K322:K323"/>
    <mergeCell ref="C306:C308"/>
    <mergeCell ref="D306:D308"/>
    <mergeCell ref="E306:E308"/>
    <mergeCell ref="F314:F317"/>
    <mergeCell ref="G314:G317"/>
    <mergeCell ref="H314:H317"/>
    <mergeCell ref="F309:F312"/>
    <mergeCell ref="F320:F324"/>
    <mergeCell ref="G320:G322"/>
    <mergeCell ref="I309:I311"/>
    <mergeCell ref="F128:F130"/>
    <mergeCell ref="G146:G147"/>
    <mergeCell ref="I146:I147"/>
    <mergeCell ref="J146:J147"/>
    <mergeCell ref="F156:F158"/>
    <mergeCell ref="G156:G158"/>
    <mergeCell ref="H156:H158"/>
    <mergeCell ref="A156:A157"/>
    <mergeCell ref="A136:A139"/>
    <mergeCell ref="H137:H139"/>
    <mergeCell ref="G137:G139"/>
    <mergeCell ref="F146:F147"/>
    <mergeCell ref="F151:F152"/>
    <mergeCell ref="F131:F133"/>
    <mergeCell ref="S712:S713"/>
    <mergeCell ref="A343:A347"/>
    <mergeCell ref="R688:R689"/>
    <mergeCell ref="S688:S689"/>
    <mergeCell ref="S710:S711"/>
    <mergeCell ref="F106:F107"/>
    <mergeCell ref="J117:J119"/>
    <mergeCell ref="H248:H249"/>
    <mergeCell ref="G248:G249"/>
    <mergeCell ref="F248:F250"/>
    <mergeCell ref="R710:R711"/>
    <mergeCell ref="H129:H130"/>
    <mergeCell ref="K149:K150"/>
    <mergeCell ref="K117:K119"/>
    <mergeCell ref="F174:F175"/>
    <mergeCell ref="G174:G175"/>
    <mergeCell ref="F117:F119"/>
    <mergeCell ref="I217:I218"/>
    <mergeCell ref="R712:R713"/>
    <mergeCell ref="F149:F150"/>
    <mergeCell ref="I162:I163"/>
    <mergeCell ref="C171:C172"/>
    <mergeCell ref="A140:A141"/>
    <mergeCell ref="A181:A182"/>
    <mergeCell ref="A2:A4"/>
    <mergeCell ref="B2:B4"/>
    <mergeCell ref="C2:K2"/>
    <mergeCell ref="L2:M3"/>
    <mergeCell ref="C3:E3"/>
    <mergeCell ref="F3:H3"/>
    <mergeCell ref="I3:K3"/>
    <mergeCell ref="P3:P4"/>
    <mergeCell ref="Q3:Q4"/>
    <mergeCell ref="N3:O3"/>
    <mergeCell ref="N2:S2"/>
    <mergeCell ref="R3:S3"/>
    <mergeCell ref="A9:A10"/>
    <mergeCell ref="B9:B10"/>
    <mergeCell ref="A11:A12"/>
    <mergeCell ref="B11:B12"/>
    <mergeCell ref="F11:F12"/>
    <mergeCell ref="I348:I350"/>
    <mergeCell ref="J348:J350"/>
    <mergeCell ref="K348:K350"/>
    <mergeCell ref="A128:A130"/>
    <mergeCell ref="C290:C292"/>
    <mergeCell ref="D290:D292"/>
    <mergeCell ref="G11:G12"/>
    <mergeCell ref="H11:H12"/>
    <mergeCell ref="F14:F16"/>
    <mergeCell ref="C19:C21"/>
    <mergeCell ref="D19:D21"/>
    <mergeCell ref="E19:E21"/>
    <mergeCell ref="H40:H41"/>
    <mergeCell ref="I53:I54"/>
    <mergeCell ref="F61:F62"/>
    <mergeCell ref="F67:F68"/>
    <mergeCell ref="G67:G68"/>
    <mergeCell ref="H67:H68"/>
    <mergeCell ref="F70:F71"/>
    <mergeCell ref="A1:S1"/>
    <mergeCell ref="J31:J32"/>
    <mergeCell ref="K31:K32"/>
    <mergeCell ref="I34:I35"/>
    <mergeCell ref="I41:I42"/>
    <mergeCell ref="I45:I46"/>
    <mergeCell ref="J45:J46"/>
    <mergeCell ref="K45:K46"/>
    <mergeCell ref="A21:A22"/>
    <mergeCell ref="C24:C25"/>
    <mergeCell ref="C30:C32"/>
    <mergeCell ref="D30:D32"/>
    <mergeCell ref="E30:E32"/>
    <mergeCell ref="F30:F32"/>
    <mergeCell ref="G30:G32"/>
    <mergeCell ref="H30:H32"/>
    <mergeCell ref="I31:I32"/>
    <mergeCell ref="F21:F22"/>
    <mergeCell ref="I21:I22"/>
    <mergeCell ref="J21:J22"/>
    <mergeCell ref="K21:K22"/>
    <mergeCell ref="A32:A33"/>
    <mergeCell ref="F40:F43"/>
    <mergeCell ref="G40:G41"/>
    <mergeCell ref="G70:G71"/>
    <mergeCell ref="I56:I57"/>
    <mergeCell ref="H70:H71"/>
    <mergeCell ref="I71:I72"/>
    <mergeCell ref="F100:F101"/>
    <mergeCell ref="I100:I101"/>
    <mergeCell ref="J100:J101"/>
    <mergeCell ref="G117:G119"/>
    <mergeCell ref="H117:H119"/>
    <mergeCell ref="I110:I112"/>
    <mergeCell ref="K95:K96"/>
    <mergeCell ref="F83:F84"/>
    <mergeCell ref="G83:G84"/>
    <mergeCell ref="F95:F96"/>
    <mergeCell ref="H95:H96"/>
    <mergeCell ref="I95:I96"/>
    <mergeCell ref="J95:J96"/>
    <mergeCell ref="K100:K101"/>
    <mergeCell ref="G149:G150"/>
    <mergeCell ref="H149:H150"/>
    <mergeCell ref="I149:I150"/>
    <mergeCell ref="I117:I119"/>
    <mergeCell ref="J149:J150"/>
    <mergeCell ref="F144:F145"/>
    <mergeCell ref="I144:I145"/>
    <mergeCell ref="F140:F143"/>
    <mergeCell ref="I140:I143"/>
    <mergeCell ref="H146:H147"/>
    <mergeCell ref="K140:K141"/>
    <mergeCell ref="G140:G142"/>
    <mergeCell ref="H140:H142"/>
    <mergeCell ref="J140:J142"/>
    <mergeCell ref="F137:F139"/>
    <mergeCell ref="I137:I139"/>
    <mergeCell ref="K146:K147"/>
    <mergeCell ref="H174:H175"/>
    <mergeCell ref="C175:C176"/>
    <mergeCell ref="D175:D176"/>
    <mergeCell ref="E175:E176"/>
    <mergeCell ref="C161:C162"/>
    <mergeCell ref="D161:D162"/>
    <mergeCell ref="E161:E162"/>
    <mergeCell ref="F161:F162"/>
    <mergeCell ref="G161:G162"/>
    <mergeCell ref="H161:H162"/>
    <mergeCell ref="I151:I152"/>
    <mergeCell ref="J151:J152"/>
    <mergeCell ref="K151:K152"/>
    <mergeCell ref="C190:C193"/>
    <mergeCell ref="D190:D193"/>
    <mergeCell ref="E190:E193"/>
    <mergeCell ref="I191:I192"/>
    <mergeCell ref="A194:A195"/>
    <mergeCell ref="F194:F195"/>
    <mergeCell ref="J177:J178"/>
    <mergeCell ref="K177:K178"/>
    <mergeCell ref="C184:C186"/>
    <mergeCell ref="D184:D185"/>
    <mergeCell ref="E184:E186"/>
    <mergeCell ref="H184:H186"/>
    <mergeCell ref="I185:I186"/>
    <mergeCell ref="A177:A178"/>
    <mergeCell ref="C177:C178"/>
    <mergeCell ref="D177:D178"/>
    <mergeCell ref="E177:E178"/>
    <mergeCell ref="F177:F178"/>
    <mergeCell ref="I177:I178"/>
    <mergeCell ref="F184:F188"/>
    <mergeCell ref="G184:G187"/>
    <mergeCell ref="F181:F182"/>
    <mergeCell ref="G181:G182"/>
    <mergeCell ref="H181:H182"/>
    <mergeCell ref="I198:I199"/>
    <mergeCell ref="A199:A200"/>
    <mergeCell ref="A203:A205"/>
    <mergeCell ref="C209:C212"/>
    <mergeCell ref="D209:D212"/>
    <mergeCell ref="E209:E212"/>
    <mergeCell ref="I210:I211"/>
    <mergeCell ref="C197:C201"/>
    <mergeCell ref="D197:D201"/>
    <mergeCell ref="E197:E201"/>
    <mergeCell ref="F197:F202"/>
    <mergeCell ref="K210:K211"/>
    <mergeCell ref="A211:A212"/>
    <mergeCell ref="F216:F227"/>
    <mergeCell ref="G216:G227"/>
    <mergeCell ref="H216:H227"/>
    <mergeCell ref="I225:I226"/>
    <mergeCell ref="F235:F236"/>
    <mergeCell ref="I234:I236"/>
    <mergeCell ref="J234:J235"/>
    <mergeCell ref="K234:K235"/>
    <mergeCell ref="I254:I255"/>
    <mergeCell ref="J254:J255"/>
    <mergeCell ref="K254:K255"/>
    <mergeCell ref="F259:F261"/>
    <mergeCell ref="G259:G261"/>
    <mergeCell ref="H259:H261"/>
    <mergeCell ref="A244:A246"/>
    <mergeCell ref="I245:I246"/>
    <mergeCell ref="J245:J246"/>
    <mergeCell ref="K245:K246"/>
    <mergeCell ref="C248:C250"/>
    <mergeCell ref="D248:D250"/>
    <mergeCell ref="E248:E250"/>
    <mergeCell ref="C263:C264"/>
    <mergeCell ref="D263:D264"/>
    <mergeCell ref="E263:E264"/>
    <mergeCell ref="F263:F267"/>
    <mergeCell ref="G263:G267"/>
    <mergeCell ref="C272:C274"/>
    <mergeCell ref="D272:D274"/>
    <mergeCell ref="E272:E274"/>
    <mergeCell ref="C253:C256"/>
    <mergeCell ref="I277:I278"/>
    <mergeCell ref="J277:J278"/>
    <mergeCell ref="K277:K278"/>
    <mergeCell ref="I279:I280"/>
    <mergeCell ref="J279:J280"/>
    <mergeCell ref="K279:K280"/>
    <mergeCell ref="C293:C299"/>
    <mergeCell ref="A300:A301"/>
    <mergeCell ref="I300:I301"/>
    <mergeCell ref="F290:F291"/>
    <mergeCell ref="G290:G291"/>
    <mergeCell ref="H290:H291"/>
    <mergeCell ref="E290:E292"/>
    <mergeCell ref="I296:I298"/>
    <mergeCell ref="F296:F298"/>
    <mergeCell ref="F300:F301"/>
    <mergeCell ref="C276:C278"/>
    <mergeCell ref="D276:D278"/>
    <mergeCell ref="E276:E278"/>
    <mergeCell ref="F276:F278"/>
    <mergeCell ref="G276:G278"/>
    <mergeCell ref="H276:H278"/>
    <mergeCell ref="A283:A284"/>
    <mergeCell ref="I285:I286"/>
    <mergeCell ref="C326:C328"/>
    <mergeCell ref="F326:F328"/>
    <mergeCell ref="I327:I328"/>
    <mergeCell ref="F331:F332"/>
    <mergeCell ref="G331:G332"/>
    <mergeCell ref="K371:K372"/>
    <mergeCell ref="C331:C332"/>
    <mergeCell ref="D331:D332"/>
    <mergeCell ref="E331:E332"/>
    <mergeCell ref="F341:F343"/>
    <mergeCell ref="I353:I354"/>
    <mergeCell ref="J353:J354"/>
    <mergeCell ref="K353:K354"/>
    <mergeCell ref="H331:H332"/>
    <mergeCell ref="G341:G342"/>
    <mergeCell ref="I341:I342"/>
    <mergeCell ref="C371:C372"/>
    <mergeCell ref="D371:D372"/>
    <mergeCell ref="E371:E372"/>
    <mergeCell ref="F371:F372"/>
    <mergeCell ref="G371:G372"/>
    <mergeCell ref="H371:H372"/>
    <mergeCell ref="I371:I372"/>
    <mergeCell ref="J371:J372"/>
    <mergeCell ref="I396:I397"/>
    <mergeCell ref="J396:J397"/>
    <mergeCell ref="K396:K397"/>
    <mergeCell ref="J405:J409"/>
    <mergeCell ref="K405:K409"/>
    <mergeCell ref="C396:C397"/>
    <mergeCell ref="D396:D397"/>
    <mergeCell ref="E396:E397"/>
    <mergeCell ref="F396:F397"/>
    <mergeCell ref="G396:G397"/>
    <mergeCell ref="H396:H397"/>
    <mergeCell ref="J427:J428"/>
    <mergeCell ref="K427:K428"/>
    <mergeCell ref="C428:C430"/>
    <mergeCell ref="C433:C434"/>
    <mergeCell ref="F433:F434"/>
    <mergeCell ref="G433:G434"/>
    <mergeCell ref="H433:H434"/>
    <mergeCell ref="J433:J434"/>
    <mergeCell ref="K433:K434"/>
    <mergeCell ref="D428:D430"/>
    <mergeCell ref="I429:I430"/>
    <mergeCell ref="A406:A408"/>
    <mergeCell ref="B406:B408"/>
    <mergeCell ref="C425:C427"/>
    <mergeCell ref="D425:D427"/>
    <mergeCell ref="E425:E427"/>
    <mergeCell ref="F425:F428"/>
    <mergeCell ref="G425:G428"/>
    <mergeCell ref="H425:H428"/>
    <mergeCell ref="I427:I428"/>
    <mergeCell ref="I405:I409"/>
    <mergeCell ref="C413:C414"/>
    <mergeCell ref="F413:F414"/>
    <mergeCell ref="A449:A450"/>
    <mergeCell ref="C451:C453"/>
    <mergeCell ref="D451:D453"/>
    <mergeCell ref="E451:E453"/>
    <mergeCell ref="I451:I452"/>
    <mergeCell ref="J451:J452"/>
    <mergeCell ref="K451:K452"/>
    <mergeCell ref="K443:K444"/>
    <mergeCell ref="I433:I434"/>
    <mergeCell ref="A435:A438"/>
    <mergeCell ref="F440:F448"/>
    <mergeCell ref="G440:G448"/>
    <mergeCell ref="H440:H448"/>
    <mergeCell ref="I441:I442"/>
    <mergeCell ref="J441:J442"/>
    <mergeCell ref="I445:I446"/>
    <mergeCell ref="J445:J446"/>
    <mergeCell ref="J465:J466"/>
    <mergeCell ref="K465:K466"/>
    <mergeCell ref="K441:K442"/>
    <mergeCell ref="I443:I444"/>
    <mergeCell ref="J443:J444"/>
    <mergeCell ref="H455:H463"/>
    <mergeCell ref="I455:I457"/>
    <mergeCell ref="J455:J457"/>
    <mergeCell ref="K455:K457"/>
    <mergeCell ref="I459:I463"/>
    <mergeCell ref="J459:J463"/>
    <mergeCell ref="K459:K463"/>
    <mergeCell ref="K445:K446"/>
    <mergeCell ref="A472:A473"/>
    <mergeCell ref="A479:A480"/>
    <mergeCell ref="A455:A457"/>
    <mergeCell ref="F455:F463"/>
    <mergeCell ref="G455:G463"/>
    <mergeCell ref="I465:I466"/>
    <mergeCell ref="C455:C457"/>
    <mergeCell ref="E455:E457"/>
    <mergeCell ref="D455:D457"/>
    <mergeCell ref="J467:J468"/>
    <mergeCell ref="K467:K468"/>
    <mergeCell ref="C470:C473"/>
    <mergeCell ref="D470:D473"/>
    <mergeCell ref="E470:E473"/>
    <mergeCell ref="I470:I472"/>
    <mergeCell ref="J470:J472"/>
    <mergeCell ref="K470:K472"/>
    <mergeCell ref="C467:C468"/>
    <mergeCell ref="D467:D468"/>
    <mergeCell ref="E467:E468"/>
    <mergeCell ref="F467:F468"/>
    <mergeCell ref="G467:G468"/>
    <mergeCell ref="H467:H468"/>
    <mergeCell ref="I467:I468"/>
    <mergeCell ref="G484:G490"/>
    <mergeCell ref="H484:H490"/>
    <mergeCell ref="I484:I485"/>
    <mergeCell ref="F496:F498"/>
    <mergeCell ref="A501:A502"/>
    <mergeCell ref="C484:C490"/>
    <mergeCell ref="D484:D490"/>
    <mergeCell ref="E484:E490"/>
    <mergeCell ref="F484:F490"/>
    <mergeCell ref="C495:C496"/>
    <mergeCell ref="I488:I489"/>
    <mergeCell ref="I490:I491"/>
    <mergeCell ref="I565:I567"/>
    <mergeCell ref="J565:J567"/>
    <mergeCell ref="K565:K567"/>
    <mergeCell ref="A541:A544"/>
    <mergeCell ref="A527:A530"/>
    <mergeCell ref="B539:B540"/>
    <mergeCell ref="C539:C540"/>
    <mergeCell ref="D539:D540"/>
    <mergeCell ref="E539:E540"/>
    <mergeCell ref="F539:F540"/>
    <mergeCell ref="E565:E567"/>
    <mergeCell ref="F565:F567"/>
    <mergeCell ref="A573:A574"/>
    <mergeCell ref="B573:B574"/>
    <mergeCell ref="E585:E586"/>
    <mergeCell ref="F555:F557"/>
    <mergeCell ref="G555:G557"/>
    <mergeCell ref="H555:H557"/>
    <mergeCell ref="G565:G567"/>
    <mergeCell ref="H565:H567"/>
    <mergeCell ref="D585:D586"/>
    <mergeCell ref="A560:A561"/>
    <mergeCell ref="A565:A567"/>
    <mergeCell ref="C565:C567"/>
    <mergeCell ref="D565:D567"/>
    <mergeCell ref="A629:A630"/>
    <mergeCell ref="I629:I630"/>
    <mergeCell ref="J629:J630"/>
    <mergeCell ref="C636:C637"/>
    <mergeCell ref="K629:K630"/>
    <mergeCell ref="I632:I633"/>
    <mergeCell ref="J632:J633"/>
    <mergeCell ref="K632:K633"/>
    <mergeCell ref="A616:A617"/>
    <mergeCell ref="F616:F617"/>
    <mergeCell ref="G616:G617"/>
    <mergeCell ref="H616:H617"/>
    <mergeCell ref="K623:K624"/>
    <mergeCell ref="A627:A628"/>
    <mergeCell ref="F627:F628"/>
    <mergeCell ref="G627:G628"/>
    <mergeCell ref="H627:H628"/>
    <mergeCell ref="F629:F630"/>
    <mergeCell ref="I623:I624"/>
    <mergeCell ref="J623:J624"/>
    <mergeCell ref="F620:F621"/>
    <mergeCell ref="G620:G621"/>
    <mergeCell ref="H620:H621"/>
    <mergeCell ref="B712:B713"/>
    <mergeCell ref="C712:C713"/>
    <mergeCell ref="D712:D713"/>
    <mergeCell ref="E712:E713"/>
    <mergeCell ref="F712:F714"/>
    <mergeCell ref="G712:G713"/>
    <mergeCell ref="L710:L711"/>
    <mergeCell ref="M710:M711"/>
    <mergeCell ref="N710:N711"/>
    <mergeCell ref="C667:C670"/>
    <mergeCell ref="D667:D670"/>
    <mergeCell ref="E667:E670"/>
    <mergeCell ref="F667:F670"/>
    <mergeCell ref="G667:G670"/>
    <mergeCell ref="F641:F642"/>
    <mergeCell ref="G641:G642"/>
    <mergeCell ref="H641:H642"/>
    <mergeCell ref="I667:I669"/>
    <mergeCell ref="F688:F689"/>
    <mergeCell ref="G688:G689"/>
    <mergeCell ref="L641:L642"/>
    <mergeCell ref="M641:M642"/>
    <mergeCell ref="I644:I645"/>
    <mergeCell ref="P712:P713"/>
    <mergeCell ref="P710:P711"/>
    <mergeCell ref="F671:F672"/>
    <mergeCell ref="K667:K669"/>
    <mergeCell ref="I674:I675"/>
    <mergeCell ref="J674:J675"/>
    <mergeCell ref="K674:K675"/>
    <mergeCell ref="J667:J669"/>
    <mergeCell ref="H667:H670"/>
    <mergeCell ref="F734:F735"/>
    <mergeCell ref="L712:L713"/>
    <mergeCell ref="M712:M713"/>
    <mergeCell ref="N712:N713"/>
    <mergeCell ref="F719:F720"/>
    <mergeCell ref="G719:G720"/>
    <mergeCell ref="I729:I730"/>
    <mergeCell ref="I732:I733"/>
    <mergeCell ref="Q710:Q711"/>
    <mergeCell ref="F710:F711"/>
    <mergeCell ref="G710:G711"/>
    <mergeCell ref="H710:H711"/>
    <mergeCell ref="A641:A642"/>
    <mergeCell ref="C641:C642"/>
    <mergeCell ref="D641:D642"/>
    <mergeCell ref="E641:E642"/>
    <mergeCell ref="Q712:Q713"/>
    <mergeCell ref="A719:A720"/>
    <mergeCell ref="I719:I720"/>
    <mergeCell ref="J719:J720"/>
    <mergeCell ref="H712:H713"/>
    <mergeCell ref="Q688:Q689"/>
    <mergeCell ref="I699:I700"/>
    <mergeCell ref="B710:B711"/>
    <mergeCell ref="C710:C711"/>
    <mergeCell ref="D710:D711"/>
    <mergeCell ref="E710:E711"/>
    <mergeCell ref="H688:H689"/>
    <mergeCell ref="L688:L689"/>
    <mergeCell ref="M688:M689"/>
    <mergeCell ref="N688:N689"/>
    <mergeCell ref="P688:P689"/>
    <mergeCell ref="B688:B689"/>
    <mergeCell ref="C688:C689"/>
    <mergeCell ref="D688:D689"/>
    <mergeCell ref="E688:E689"/>
    <mergeCell ref="A748:A749"/>
    <mergeCell ref="B748:B749"/>
    <mergeCell ref="I742:I743"/>
    <mergeCell ref="J742:J743"/>
    <mergeCell ref="K742:K743"/>
    <mergeCell ref="I747:I748"/>
    <mergeCell ref="J747:J748"/>
    <mergeCell ref="K747:K748"/>
    <mergeCell ref="C741:C742"/>
    <mergeCell ref="D741:D742"/>
    <mergeCell ref="E741:E742"/>
    <mergeCell ref="F741:F743"/>
    <mergeCell ref="G741:G743"/>
    <mergeCell ref="H741:H743"/>
    <mergeCell ref="F748:F749"/>
    <mergeCell ref="K131:K133"/>
    <mergeCell ref="J131:J133"/>
    <mergeCell ref="I131:I133"/>
    <mergeCell ref="H131:H133"/>
    <mergeCell ref="G131:G133"/>
    <mergeCell ref="J644:J645"/>
    <mergeCell ref="K644:K645"/>
    <mergeCell ref="F656:F657"/>
    <mergeCell ref="I639:I640"/>
    <mergeCell ref="J639:J640"/>
    <mergeCell ref="J501:J502"/>
    <mergeCell ref="K501:K502"/>
    <mergeCell ref="K639:K640"/>
    <mergeCell ref="F636:F637"/>
    <mergeCell ref="G636:G637"/>
    <mergeCell ref="H636:H637"/>
    <mergeCell ref="I555:I557"/>
    <mergeCell ref="J555:J557"/>
    <mergeCell ref="K555:K557"/>
    <mergeCell ref="G539:G540"/>
    <mergeCell ref="H539:H540"/>
    <mergeCell ref="I539:I540"/>
    <mergeCell ref="J539:J540"/>
    <mergeCell ref="K539:K540"/>
    <mergeCell ref="C52:C53"/>
    <mergeCell ref="C70:C71"/>
    <mergeCell ref="I78:I80"/>
    <mergeCell ref="A94:A96"/>
    <mergeCell ref="I269:I270"/>
    <mergeCell ref="A570:A572"/>
    <mergeCell ref="F618:F619"/>
    <mergeCell ref="G618:G619"/>
    <mergeCell ref="H618:H619"/>
    <mergeCell ref="A603:A604"/>
    <mergeCell ref="C603:C604"/>
    <mergeCell ref="D603:D604"/>
    <mergeCell ref="E603:E604"/>
    <mergeCell ref="F603:F604"/>
    <mergeCell ref="G603:G604"/>
    <mergeCell ref="H603:H604"/>
    <mergeCell ref="F579:F580"/>
    <mergeCell ref="F583:F584"/>
    <mergeCell ref="C585:C586"/>
    <mergeCell ref="I499:I500"/>
    <mergeCell ref="I501:I502"/>
    <mergeCell ref="I570:I571"/>
    <mergeCell ref="F571:F572"/>
    <mergeCell ref="F573:F574"/>
  </mergeCells>
  <pageMargins left="0.15748031496062992" right="0" top="0.74803149606299213" bottom="0.6692913385826772" header="0.39370078740157483" footer="0.39370078740157483"/>
  <pageSetup paperSize="9" scale="49" fitToHeight="0" orientation="landscape" r:id="rId1"/>
  <headerFooter alignWithMargins="0">
    <oddFooter>&amp;L&amp;C&amp;"Arial"&amp;10&amp;P &amp;R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РРО на2025</vt:lpstr>
      <vt:lpstr>'РРО на2025'!Заголовки_для_печати</vt:lpstr>
      <vt:lpstr>'РРО на2025'!Область_печати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2016-03-29T09:23:23Z</dcterms:created>
  <dcterms:modified xsi:type="dcterms:W3CDTF">2025-10-28T03:37:23Z</dcterms:modified>
</cp:coreProperties>
</file>